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heckCompatibility="1" autoCompressPictures="0"/>
  <mc:AlternateContent xmlns:mc="http://schemas.openxmlformats.org/markup-compatibility/2006">
    <mc:Choice Requires="x15">
      <x15ac:absPath xmlns:x15ac="http://schemas.microsoft.com/office/spreadsheetml/2010/11/ac" url="C:\Users\jcoyl008\Downloads\"/>
    </mc:Choice>
  </mc:AlternateContent>
  <xr:revisionPtr revIDLastSave="0" documentId="8_{780AE6D0-3278-416C-BEB6-15AA5A06C9EC}" xr6:coauthVersionLast="36" xr6:coauthVersionMax="36" xr10:uidLastSave="{00000000-0000-0000-0000-000000000000}"/>
  <workbookProtection workbookAlgorithmName="SHA-512" workbookHashValue="bEUqgRJd4HRl4il5EaDtQauvOC/fC9cnMniZ49gMwjKpjRAuB5Z9iTFUeXKreNwwCNg75ushJsuGk7Z6B4X8ZQ==" workbookSaltValue="bRL3+H5JoOaZMXY19LjYew==" workbookSpinCount="100000" lockStructure="1"/>
  <bookViews>
    <workbookView xWindow="0" yWindow="240" windowWidth="12240" windowHeight="9000" firstSheet="8" activeTab="8"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FPS &amp; 2015 Scheme" sheetId="11" r:id="rId9"/>
    <sheet name="Notes" sheetId="13"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X19" i="11" l="1"/>
  <c r="BN45" i="11" l="1"/>
  <c r="BN46" i="11" s="1"/>
  <c r="BN47" i="11" s="1"/>
  <c r="BN41" i="11"/>
  <c r="BN32" i="11" s="1"/>
  <c r="BP26" i="11" l="1"/>
  <c r="BN26" i="11"/>
  <c r="BN48" i="11" s="1"/>
  <c r="BN49" i="11" s="1"/>
  <c r="BN50" i="11" s="1"/>
  <c r="BN51" i="11" s="1"/>
  <c r="BN27" i="11" l="1"/>
  <c r="BN30" i="11" l="1"/>
  <c r="BN31" i="11" s="1"/>
  <c r="BN28" i="11"/>
  <c r="BN33" i="11" s="1"/>
  <c r="R27" i="11"/>
  <c r="R28" i="11" s="1"/>
  <c r="BN36" i="11" l="1"/>
  <c r="BN38" i="11" s="1"/>
  <c r="BN43" i="11" s="1"/>
  <c r="E41" i="11" s="1"/>
  <c r="BN34" i="11"/>
  <c r="M31" i="11"/>
  <c r="K19" i="9" l="1"/>
  <c r="M29" i="9" l="1"/>
  <c r="K29" i="9"/>
  <c r="K21" i="9"/>
  <c r="R72" i="11" l="1"/>
  <c r="R24" i="11"/>
  <c r="P24" i="11"/>
  <c r="AV16" i="11"/>
  <c r="AX16" i="11" s="1"/>
  <c r="T12" i="11"/>
  <c r="W12" i="11" s="1"/>
  <c r="S12" i="11"/>
  <c r="Y13" i="11" l="1"/>
  <c r="AC11" i="11"/>
  <c r="R59" i="11"/>
  <c r="S24" i="11"/>
  <c r="W13" i="11"/>
  <c r="AB11" i="11"/>
  <c r="K17" i="7"/>
  <c r="J17" i="7"/>
  <c r="V16" i="11" l="1"/>
  <c r="X16" i="11" s="1"/>
  <c r="AP14" i="7"/>
  <c r="AR14" i="7" s="1"/>
  <c r="V18" i="11" l="1"/>
  <c r="X18" i="11" s="1"/>
  <c r="AX21" i="11"/>
  <c r="AX23" i="11" s="1"/>
  <c r="E55" i="11" s="1"/>
  <c r="J21" i="7"/>
  <c r="AP17" i="7"/>
  <c r="D20" i="3"/>
  <c r="D14" i="3"/>
  <c r="R40" i="11" l="1"/>
  <c r="G69" i="11" s="1"/>
  <c r="R38" i="11"/>
  <c r="E53" i="11" s="1"/>
  <c r="R46" i="11"/>
  <c r="C6" i="6"/>
  <c r="E73" i="11" l="1"/>
  <c r="E75" i="11"/>
  <c r="G73" i="3"/>
  <c r="G74" i="3"/>
  <c r="G78" i="3"/>
  <c r="G75" i="3"/>
  <c r="G79" i="3"/>
  <c r="G76" i="3"/>
  <c r="G77" i="3"/>
  <c r="X147" i="7"/>
  <c r="X156" i="7"/>
  <c r="AB14" i="7"/>
  <c r="AD14" i="7" l="1"/>
  <c r="AH11" i="7"/>
  <c r="AH12" i="7"/>
  <c r="AH13" i="7"/>
  <c r="AH14" i="7"/>
  <c r="AH15" i="7"/>
  <c r="AH16" i="7"/>
  <c r="AH17" i="7"/>
  <c r="AH18" i="7"/>
  <c r="AH19" i="7"/>
  <c r="AH20" i="7"/>
  <c r="AH21" i="7"/>
  <c r="J22" i="7" l="1"/>
  <c r="K34" i="9" s="1"/>
  <c r="A1" i="5" l="1"/>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I41" i="11" s="1"/>
  <c r="J26" i="7"/>
  <c r="R36" i="9" l="1"/>
  <c r="U38" i="11" l="1"/>
  <c r="I53" i="11" s="1"/>
  <c r="I73" i="11"/>
  <c r="N73" i="11" s="1"/>
  <c r="U40" i="11"/>
  <c r="I55" i="11" s="1"/>
  <c r="Q60" i="11"/>
  <c r="Q61" i="11" s="1"/>
  <c r="N41" i="11"/>
  <c r="E46" i="11" s="1"/>
  <c r="Q62" i="11" l="1"/>
  <c r="N53" i="11" s="1"/>
  <c r="N55" i="11" l="1"/>
  <c r="E58" i="11" s="1"/>
  <c r="I69" i="11"/>
  <c r="I75" i="11" s="1"/>
  <c r="N75" i="11" s="1"/>
  <c r="E79" i="11" s="1"/>
</calcChain>
</file>

<file path=xl/sharedStrings.xml><?xml version="1.0" encoding="utf-8"?>
<sst xmlns="http://schemas.openxmlformats.org/spreadsheetml/2006/main" count="207" uniqueCount="167">
  <si>
    <t>Year</t>
  </si>
  <si>
    <t>Rate</t>
  </si>
  <si>
    <t>Starting Salary as of 2016</t>
  </si>
  <si>
    <t>Annual Salary increase</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</si>
  <si>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</si>
  <si>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</si>
  <si>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</si>
  <si>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</si>
  <si>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</si>
  <si>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</si>
  <si>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</si>
  <si>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</si>
  <si>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</si>
  <si>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</si>
  <si>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</si>
  <si>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</si>
  <si>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</si>
  <si>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</si>
  <si>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</si>
  <si>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</si>
  <si>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</si>
  <si>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</si>
  <si>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</si>
  <si>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</si>
  <si>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</si>
  <si>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</si>
  <si>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</si>
  <si>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</si>
  <si>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</si>
  <si>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</si>
  <si>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</si>
  <si>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</si>
  <si>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</si>
  <si>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</si>
  <si>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</si>
  <si>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</si>
  <si>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</si>
  <si>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</si>
  <si>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</si>
  <si>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</si>
  <si>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</si>
  <si>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</si>
  <si>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</si>
  <si>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</si>
  <si>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</si>
  <si>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</si>
  <si>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</si>
  <si>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</si>
  <si>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</si>
  <si>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</si>
  <si>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</si>
  <si>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</si>
  <si>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</si>
  <si>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</si>
  <si>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</si>
  <si>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</si>
  <si>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</si>
  <si>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</si>
  <si>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</si>
  <si>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</si>
  <si>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</si>
  <si>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</si>
  <si>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</si>
  <si>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</si>
  <si>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</si>
  <si>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</si>
  <si>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</si>
  <si>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</si>
  <si>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</si>
  <si>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</si>
  <si>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</si>
  <si>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</si>
  <si>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</si>
  <si>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</si>
  <si>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</si>
  <si>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</si>
  <si>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</si>
  <si>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</si>
  <si>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</si>
  <si>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</si>
  <si>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</si>
  <si>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</si>
  <si>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 xml:space="preserve">total </t>
  </si>
  <si>
    <t>years</t>
  </si>
  <si>
    <t>days</t>
  </si>
  <si>
    <t>days converted</t>
  </si>
  <si>
    <t>Days</t>
  </si>
  <si>
    <t>total</t>
  </si>
  <si>
    <t>Month Decimal</t>
  </si>
  <si>
    <t>For example 19/300 displayed on your ABS = 19 years 300 days</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</si>
  <si>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</si>
  <si>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</si>
  <si>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</si>
  <si>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</si>
  <si>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</si>
  <si>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</si>
  <si>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</si>
  <si>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</si>
  <si>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2015 Scheme</t>
  </si>
  <si>
    <t>Combined Benefits</t>
  </si>
  <si>
    <t xml:space="preserve">Projected Pension = </t>
  </si>
  <si>
    <t>Projected Lump Sum =</t>
  </si>
  <si>
    <t>LTA Used</t>
  </si>
  <si>
    <t>Option 3. Personal Choice of additional Lump Sum and Reduced Pension</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</si>
  <si>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</si>
  <si>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</si>
  <si>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</si>
  <si>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</si>
  <si>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</si>
  <si>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</si>
  <si>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</si>
  <si>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</si>
  <si>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</si>
  <si>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</si>
  <si>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</si>
  <si>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</si>
  <si>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</si>
  <si>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</si>
  <si>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</si>
  <si>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It is assumed that you will remain in active service until your selected retirement date, and that you will retire on normal terms (i.e. you are not retiring on the grounds of ill-health).</t>
  </si>
  <si>
    <t>The amount of pension you may receive depends on when you retire.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</si>
  <si>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</si>
  <si>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</si>
  <si>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Enter your Estimated Pensionable Earnings at Retirement (Whole Time Equivalent (WTE) if you work Part Time)</t>
  </si>
  <si>
    <t>Enter Approximate Annual Pensionable Pay on Joining the 2015 Scheme</t>
  </si>
  <si>
    <t>The benefits displayed for 2015 Scheme membership are based on full years from the age you joined to your retirement age. If you have part years’ service actual benefits may be lower</t>
  </si>
  <si>
    <t>If your transition date is after your last annual benefit statement date add on the additional service you will accrue up to the transition date</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</si>
  <si>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</si>
  <si>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</si>
  <si>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</si>
  <si>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</si>
  <si>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</si>
  <si>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Build Up Rate (1/64.8th)</t>
  </si>
  <si>
    <t>NIFRS Pension Scheme Calculator for FPS- 2015 Transitional Members - Retiring Age 55 and Above</t>
  </si>
  <si>
    <t>To use this calculator you must know your FPS Scheme pensionable service at your transition date.</t>
  </si>
  <si>
    <t xml:space="preserve">Your service and transition date can be found on your Annual Benefit Statement. </t>
  </si>
  <si>
    <t>Age 55 or above at your proposed retirement date</t>
  </si>
  <si>
    <t>FPS Benefits</t>
  </si>
  <si>
    <t>FPS Scheme</t>
  </si>
  <si>
    <t>FPS ls</t>
  </si>
  <si>
    <t>2015 ls</t>
  </si>
  <si>
    <t>Option 2. Assuming  Lump Sum of 25% of Penion Value and Reduced Pension</t>
  </si>
  <si>
    <t>Commutation Factor</t>
  </si>
  <si>
    <t>Quarter of Pension</t>
  </si>
  <si>
    <t>Commuted LS</t>
  </si>
  <si>
    <t>For 2015 Scheme Benefits you must know your approximate actual annual pensionable pay (not WTE) at the date you transitioned to the 2015 scheme</t>
  </si>
  <si>
    <t>FPS/2015 Transitional Member Calculator Notes</t>
  </si>
  <si>
    <t>The results for FPS section benefits shows the amount of your projected pension at retirement based on your projected pensionable pay at that date.</t>
  </si>
  <si>
    <t>The results for 2015 section benefits allow for basic salary increases of 0.5%, and revaluation of CARE benefits on the assumed increase in AWE. The assumed salary increases do not allow for any future promotional salary increases you may receive.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</si>
  <si>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</si>
  <si>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The additional lump sum for FPS Scheme  cannot exceed the maximum FPS Scheme Lump Sum displayed in Option 2</t>
  </si>
  <si>
    <t xml:space="preserve">Actuarial Reductions in place at the time of the creation of the calculator have been applied to to the calculations where applicable </t>
  </si>
  <si>
    <t>This calculator only applies to the NIFRS Pension Scheme in Northern Ireland</t>
  </si>
  <si>
    <t>The 2015 scheme is a Career Average Revalued Earnings (CARE) scheme with an accrual rate of 1/64.8 and revaluation for active members before retirement in line with the AWE</t>
  </si>
  <si>
    <t xml:space="preserve">Long-term AWE has been assumed to be 2% per year. The calculator presents sets of results, by using long-term pay increases of 0.5% each year. </t>
  </si>
  <si>
    <t>Enter the date of your proposed Retirement</t>
  </si>
  <si>
    <t>from 01/04/2022 to retirement</t>
  </si>
  <si>
    <t>Max Service</t>
  </si>
  <si>
    <t>Doubled Service over 20 yrs</t>
  </si>
  <si>
    <t>start date to care inc dbl</t>
  </si>
  <si>
    <t>start date to retirement</t>
  </si>
  <si>
    <t>start to care no dbl</t>
  </si>
  <si>
    <t>start to ret no dbl</t>
  </si>
  <si>
    <t>max sevice no dbl</t>
  </si>
  <si>
    <t>Enter Your  Pensionable Service at your Transition Date</t>
  </si>
  <si>
    <t>The results shown are estimates, based on the information you input and other assumptions including annual 0.5% pay increases and assumed revaluation rates of 2%</t>
  </si>
  <si>
    <t>Below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</si>
</sst>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b/>
      <sz val="18"/>
      <color theme="1"/>
      <name val="Calibri"/>
      <family val="2"/>
      <scheme val="minor"/>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5"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8">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0" fontId="25" fillId="2" borderId="40"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42"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0" fillId="2" borderId="40" xfId="0" applyFill="1" applyBorder="1" applyProtection="1">
      <protection hidden="1"/>
    </xf>
    <xf numFmtId="0" fontId="0" fillId="2" borderId="41" xfId="0"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0" fontId="0" fillId="2" borderId="38" xfId="0" applyFill="1" applyBorder="1" applyProtection="1">
      <protection hidden="1"/>
    </xf>
    <xf numFmtId="0" fontId="0" fillId="2" borderId="39" xfId="0" applyFill="1" applyBorder="1" applyProtection="1">
      <protection hidden="1"/>
    </xf>
    <xf numFmtId="0" fontId="0" fillId="2" borderId="42" xfId="0" applyFill="1" applyBorder="1" applyProtection="1">
      <protection hidden="1"/>
    </xf>
    <xf numFmtId="0" fontId="4" fillId="2" borderId="39" xfId="0" applyFont="1" applyFill="1" applyBorder="1" applyProtection="1">
      <protection hidden="1"/>
    </xf>
    <xf numFmtId="0" fontId="28" fillId="0" borderId="38" xfId="0" applyFont="1" applyBorder="1" applyAlignment="1">
      <alignment vertical="center"/>
    </xf>
    <xf numFmtId="0" fontId="28" fillId="0" borderId="38" xfId="0" applyFont="1" applyBorder="1"/>
    <xf numFmtId="0" fontId="29" fillId="2" borderId="35" xfId="0" applyFont="1" applyFill="1" applyBorder="1" applyProtection="1">
      <protection hidden="1"/>
    </xf>
    <xf numFmtId="0" fontId="29" fillId="2" borderId="36" xfId="0" applyFont="1" applyFill="1" applyBorder="1" applyProtection="1">
      <protection hidden="1"/>
    </xf>
    <xf numFmtId="0" fontId="0" fillId="16" borderId="0" xfId="0" applyFill="1" applyProtection="1">
      <protection hidden="1"/>
    </xf>
    <xf numFmtId="0" fontId="0" fillId="0" borderId="0" xfId="0" applyAlignment="1">
      <alignment vertical="center"/>
    </xf>
    <xf numFmtId="0" fontId="30" fillId="0" borderId="0" xfId="0" applyFont="1" applyAlignment="1">
      <alignment vertical="center"/>
    </xf>
    <xf numFmtId="0" fontId="6" fillId="2" borderId="0" xfId="0" applyFont="1" applyFill="1" applyBorder="1" applyAlignment="1" applyProtection="1">
      <alignment horizontal="right"/>
      <protection hidden="1"/>
    </xf>
    <xf numFmtId="164" fontId="0" fillId="0" borderId="0" xfId="0" applyNumberFormat="1" applyProtection="1">
      <protection hidden="1"/>
    </xf>
    <xf numFmtId="0" fontId="5" fillId="2" borderId="38" xfId="0" applyFont="1" applyFill="1" applyBorder="1" applyProtection="1">
      <protection hidden="1"/>
    </xf>
    <xf numFmtId="0" fontId="5" fillId="2" borderId="0" xfId="0" applyFont="1" applyFill="1" applyBorder="1" applyProtection="1">
      <protection hidden="1"/>
    </xf>
    <xf numFmtId="14" fontId="10" fillId="10" borderId="34" xfId="0" applyNumberFormat="1" applyFont="1" applyFill="1" applyBorder="1" applyProtection="1">
      <protection locked="0" hidden="1"/>
    </xf>
    <xf numFmtId="0" fontId="17" fillId="2" borderId="40" xfId="0" applyFont="1" applyFill="1" applyBorder="1" applyProtection="1">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zoomScale="80" zoomScaleNormal="80" workbookViewId="0">
      <selection activeCell="B11" sqref="B1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3" t="s">
        <v>61</v>
      </c>
      <c r="C1" s="203"/>
      <c r="D1" s="203"/>
      <c r="E1" s="203"/>
      <c r="F1" s="203"/>
      <c r="G1" s="203"/>
      <c r="H1" s="203"/>
      <c r="I1" s="3"/>
    </row>
    <row r="2" spans="1:9" ht="14.45" x14ac:dyDescent="0.35">
      <c r="A2" s="4"/>
      <c r="B2" s="13"/>
      <c r="C2" s="13"/>
      <c r="D2" s="13"/>
      <c r="E2" s="13"/>
      <c r="F2" s="13"/>
      <c r="G2" s="13"/>
      <c r="H2" s="13"/>
      <c r="I2" s="6"/>
    </row>
    <row r="3" spans="1:9" ht="18" customHeight="1" x14ac:dyDescent="0.25">
      <c r="A3" s="4"/>
      <c r="B3" s="208" t="s">
        <v>18</v>
      </c>
      <c r="C3" s="208"/>
      <c r="D3" s="208"/>
      <c r="E3" s="208"/>
      <c r="F3" s="208"/>
      <c r="G3" s="208"/>
      <c r="H3" s="208"/>
      <c r="I3" s="6"/>
    </row>
    <row r="4" spans="1:9" ht="18" customHeight="1" x14ac:dyDescent="0.25">
      <c r="A4" s="4"/>
      <c r="B4" s="208"/>
      <c r="C4" s="208"/>
      <c r="D4" s="208"/>
      <c r="E4" s="208"/>
      <c r="F4" s="208"/>
      <c r="G4" s="208"/>
      <c r="H4" s="208"/>
      <c r="I4" s="6"/>
    </row>
    <row r="5" spans="1:9" ht="18" customHeight="1" x14ac:dyDescent="0.25">
      <c r="A5" s="4"/>
      <c r="B5" s="208"/>
      <c r="C5" s="208"/>
      <c r="D5" s="208"/>
      <c r="E5" s="208"/>
      <c r="F5" s="208"/>
      <c r="G5" s="208"/>
      <c r="H5" s="208"/>
      <c r="I5" s="6"/>
    </row>
    <row r="6" spans="1:9" ht="18" customHeight="1" x14ac:dyDescent="0.3">
      <c r="A6" s="4"/>
      <c r="C6" s="14"/>
      <c r="D6" s="14"/>
      <c r="E6" s="14"/>
      <c r="F6" s="14"/>
      <c r="G6" s="14"/>
      <c r="H6" s="14"/>
      <c r="I6" s="6"/>
    </row>
    <row r="7" spans="1:9" ht="18.75" x14ac:dyDescent="0.3">
      <c r="A7" s="4"/>
      <c r="B7" s="15" t="s">
        <v>7</v>
      </c>
      <c r="C7" s="13"/>
      <c r="D7" s="13"/>
      <c r="E7" s="13"/>
      <c r="F7" s="13"/>
      <c r="G7" s="13"/>
      <c r="H7" s="13"/>
      <c r="I7" s="6"/>
    </row>
    <row r="8" spans="1:9" ht="18.75" x14ac:dyDescent="0.3">
      <c r="A8" s="4"/>
      <c r="B8" s="16" t="s">
        <v>39</v>
      </c>
      <c r="C8" s="13"/>
      <c r="D8" s="13"/>
      <c r="E8" s="13"/>
      <c r="F8" s="13"/>
      <c r="G8" s="13"/>
      <c r="H8" s="13"/>
      <c r="I8" s="6"/>
    </row>
    <row r="9" spans="1:9" ht="18.75" x14ac:dyDescent="0.3">
      <c r="A9" s="4"/>
      <c r="B9" s="16" t="s">
        <v>20</v>
      </c>
      <c r="C9" s="13"/>
      <c r="D9" s="13"/>
      <c r="E9" s="13"/>
      <c r="F9" s="13"/>
      <c r="G9" s="13"/>
      <c r="H9" s="13"/>
      <c r="I9" s="6"/>
    </row>
    <row r="10" spans="1:9" ht="18.75" x14ac:dyDescent="0.3">
      <c r="A10" s="4"/>
      <c r="B10" s="16" t="s">
        <v>59</v>
      </c>
      <c r="C10" s="13"/>
      <c r="D10" s="13"/>
      <c r="E10" s="13"/>
      <c r="F10" s="13"/>
      <c r="G10" s="13"/>
      <c r="H10" s="13"/>
      <c r="I10" s="6"/>
    </row>
    <row r="11" spans="1:9" ht="18.75" x14ac:dyDescent="0.3">
      <c r="A11" s="4"/>
      <c r="B11" s="61" t="s">
        <v>19</v>
      </c>
      <c r="C11" s="13"/>
      <c r="D11" s="13"/>
      <c r="E11" s="13"/>
      <c r="F11" s="17"/>
      <c r="G11" s="17"/>
      <c r="H11" s="17"/>
      <c r="I11" s="6"/>
    </row>
    <row r="12" spans="1:9" ht="18.75" x14ac:dyDescent="0.3">
      <c r="A12" s="4"/>
      <c r="B12" s="77" t="s">
        <v>60</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204" t="s">
        <v>2</v>
      </c>
      <c r="C14" s="205"/>
      <c r="D14" s="58">
        <f>'2015 Calculator Age 67'!K21</f>
        <v>28000</v>
      </c>
      <c r="E14" s="5"/>
      <c r="F14" s="7"/>
      <c r="G14" s="7"/>
      <c r="H14" s="7"/>
      <c r="I14" s="6"/>
    </row>
    <row r="15" spans="1:9" ht="19.5" customHeight="1" x14ac:dyDescent="0.3">
      <c r="A15" s="4"/>
      <c r="B15" s="206" t="s">
        <v>3</v>
      </c>
      <c r="C15" s="207"/>
      <c r="D15" s="62">
        <v>5.0000000000000001E-3</v>
      </c>
      <c r="E15" s="5"/>
      <c r="F15" s="7"/>
      <c r="G15" s="7"/>
      <c r="H15" s="7"/>
      <c r="I15" s="6"/>
    </row>
    <row r="16" spans="1:9" ht="18.75" x14ac:dyDescent="0.3">
      <c r="A16" s="4"/>
      <c r="B16" s="206" t="s">
        <v>44</v>
      </c>
      <c r="C16" s="207"/>
      <c r="D16" s="18">
        <v>0.02</v>
      </c>
      <c r="E16" s="5"/>
      <c r="F16" s="1"/>
      <c r="G16" s="1"/>
      <c r="H16" s="1"/>
      <c r="I16" s="6"/>
    </row>
    <row r="17" spans="1:9" ht="19.5" thickBot="1" x14ac:dyDescent="0.35">
      <c r="A17" s="4"/>
      <c r="B17" s="201"/>
      <c r="C17" s="202"/>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6</v>
      </c>
      <c r="C19" s="20" t="s">
        <v>0</v>
      </c>
      <c r="D19" s="20" t="s">
        <v>4</v>
      </c>
      <c r="E19" s="20" t="s">
        <v>11</v>
      </c>
      <c r="F19" s="20" t="s">
        <v>10</v>
      </c>
      <c r="G19" s="20" t="s">
        <v>12</v>
      </c>
      <c r="H19" s="21" t="s">
        <v>15</v>
      </c>
      <c r="I19" s="8"/>
    </row>
    <row r="20" spans="1:9" ht="18.75" x14ac:dyDescent="0.3">
      <c r="A20" s="4"/>
      <c r="B20" s="22">
        <v>1</v>
      </c>
      <c r="C20" s="23">
        <v>2016</v>
      </c>
      <c r="D20" s="23">
        <f>'2015 Calculator Age 67'!K19</f>
        <v>51</v>
      </c>
      <c r="E20" s="24">
        <f>IF(D20&lt;=Variables!$C$4,D14,0)</f>
        <v>28000</v>
      </c>
      <c r="F20" s="24">
        <f>E20*Variables!$C$2</f>
        <v>432.03999999999996</v>
      </c>
      <c r="G20" s="24">
        <f>VLOOKUP(B20,Revaluation!$B$3:$BC$56, MATCH((Variables!$C$4-($D$20-1)),Revaluation!$B$2:$BC$2,0),FALSE)</f>
        <v>593.09833602734807</v>
      </c>
      <c r="H20" s="25">
        <f>IF(D20&lt;=Variables!$C$4, (SUM($G$20:G20)), 0)</f>
        <v>593.09833602734807</v>
      </c>
      <c r="I20" s="6"/>
    </row>
    <row r="21" spans="1:9" ht="18.75" x14ac:dyDescent="0.3">
      <c r="A21" s="4"/>
      <c r="B21" s="26">
        <v>2</v>
      </c>
      <c r="C21" s="27">
        <v>2017</v>
      </c>
      <c r="D21" s="27">
        <f>D20+1</f>
        <v>52</v>
      </c>
      <c r="E21" s="28">
        <f>IF(D21&lt;=Variables!$C$4,(E20*(100%+$D$15)),0)</f>
        <v>28139.999999999996</v>
      </c>
      <c r="F21" s="28">
        <f>E21*Variables!$C$2</f>
        <v>434.20019999999994</v>
      </c>
      <c r="G21" s="24">
        <f>VLOOKUP(B21,Revaluation!$B$3:$BC$56, MATCH((Variables!$C$4-($D$20-1)),Revaluation!$B$2:$BC$2,0),FALSE)</f>
        <v>584.37630167400459</v>
      </c>
      <c r="H21" s="25">
        <f>IF(D21&lt;=Variables!$C$4, (SUM($G$20:G21)), 0)</f>
        <v>1177.4746377013525</v>
      </c>
      <c r="I21" s="6"/>
    </row>
    <row r="22" spans="1:9" ht="18.75" x14ac:dyDescent="0.3">
      <c r="A22" s="4"/>
      <c r="B22" s="22">
        <v>3</v>
      </c>
      <c r="C22" s="23">
        <v>2018</v>
      </c>
      <c r="D22" s="23">
        <f t="shared" ref="D22:D40" si="0">D21+1</f>
        <v>53</v>
      </c>
      <c r="E22" s="24">
        <f>IF(D22&lt;=Variables!$C$4,(E21*(100%+$D$15)),0)</f>
        <v>28280.699999999993</v>
      </c>
      <c r="F22" s="24">
        <f>E22*Variables!$C$2</f>
        <v>436.37120099999987</v>
      </c>
      <c r="G22" s="24">
        <f>VLOOKUP(B22,Revaluation!$B$3:$BC$56, MATCH((Variables!$C$4-($D$20-1)),Revaluation!$B$2:$BC$2,0),FALSE)</f>
        <v>575.78253253173989</v>
      </c>
      <c r="H22" s="25">
        <f>IF(D22&lt;=Variables!$C$4, (SUM($G$20:G22)), 0)</f>
        <v>1753.2571702330924</v>
      </c>
      <c r="I22" s="6"/>
    </row>
    <row r="23" spans="1:9" ht="18.75" x14ac:dyDescent="0.3">
      <c r="A23" s="4"/>
      <c r="B23" s="26">
        <v>4</v>
      </c>
      <c r="C23" s="27">
        <v>2019</v>
      </c>
      <c r="D23" s="27">
        <f t="shared" si="0"/>
        <v>54</v>
      </c>
      <c r="E23" s="28">
        <f>IF(D23&lt;=Variables!$C$4,(E22*(100%+$D$15)),0)</f>
        <v>28422.10349999999</v>
      </c>
      <c r="F23" s="28">
        <f>E23*Variables!$C$2</f>
        <v>438.5530570049998</v>
      </c>
      <c r="G23" s="24">
        <f>VLOOKUP(B23,Revaluation!$B$3:$BC$56, MATCH((Variables!$C$4-($D$20-1)),Revaluation!$B$2:$BC$2,0),FALSE)</f>
        <v>567.31514234744941</v>
      </c>
      <c r="H23" s="25">
        <f>IF(D23&lt;=Variables!$C$4, (SUM($G$20:G23)), 0)</f>
        <v>2320.5723125805416</v>
      </c>
      <c r="I23" s="6"/>
    </row>
    <row r="24" spans="1:9" ht="18.75" x14ac:dyDescent="0.3">
      <c r="A24" s="4"/>
      <c r="B24" s="22">
        <v>5</v>
      </c>
      <c r="C24" s="23">
        <v>2020</v>
      </c>
      <c r="D24" s="23">
        <f t="shared" si="0"/>
        <v>55</v>
      </c>
      <c r="E24" s="24">
        <f>IF(D24&lt;=Variables!$C$4,(E23*(100%+$D$15)),0)</f>
        <v>28564.214017499988</v>
      </c>
      <c r="F24" s="24">
        <f>E24*Variables!$C$2</f>
        <v>440.74582229002476</v>
      </c>
      <c r="G24" s="24">
        <f>VLOOKUP(B24,Revaluation!$B$3:$BC$56, MATCH((Variables!$C$4-($D$20-1)),Revaluation!$B$2:$BC$2,0),FALSE)</f>
        <v>558.97227260704574</v>
      </c>
      <c r="H24" s="25">
        <f>IF(D24&lt;=Variables!$C$4, (SUM($G$20:G24)), 0)</f>
        <v>2879.5445851875875</v>
      </c>
      <c r="I24" s="6"/>
    </row>
    <row r="25" spans="1:9" ht="18.75" x14ac:dyDescent="0.3">
      <c r="A25" s="4"/>
      <c r="B25" s="26">
        <v>6</v>
      </c>
      <c r="C25" s="27">
        <v>2021</v>
      </c>
      <c r="D25" s="27">
        <f t="shared" si="0"/>
        <v>56</v>
      </c>
      <c r="E25" s="28">
        <f>IF(D25&lt;=Variables!$C$4,(E24*(100%+$D$15)),0)</f>
        <v>28707.035087587483</v>
      </c>
      <c r="F25" s="28">
        <f>E25*Variables!$C$2</f>
        <v>442.94955140147482</v>
      </c>
      <c r="G25" s="24">
        <f>VLOOKUP(B25,Revaluation!$B$3:$BC$56, MATCH((Variables!$C$4-($D$20-1)),Revaluation!$B$2:$BC$2,0),FALSE)</f>
        <v>550.7520921275302</v>
      </c>
      <c r="H25" s="25">
        <f>IF(D25&lt;=Variables!$C$4, (SUM($G$20:G25)), 0)</f>
        <v>3430.2966773151174</v>
      </c>
      <c r="I25" s="6"/>
    </row>
    <row r="26" spans="1:9" ht="18.75" x14ac:dyDescent="0.3">
      <c r="A26" s="4"/>
      <c r="B26" s="22">
        <v>7</v>
      </c>
      <c r="C26" s="23">
        <v>2022</v>
      </c>
      <c r="D26" s="23">
        <f t="shared" si="0"/>
        <v>57</v>
      </c>
      <c r="E26" s="24">
        <f>IF(D26&lt;=Variables!$C$4,(E25*(100%+$D$15)),0)</f>
        <v>28850.570263025416</v>
      </c>
      <c r="F26" s="24">
        <f>E26*Variables!$C$2</f>
        <v>445.16429915848215</v>
      </c>
      <c r="G26" s="24">
        <f>VLOOKUP(B26,Revaluation!$B$3:$BC$56, MATCH((Variables!$C$4-($D$20-1)),Revaluation!$B$2:$BC$2,0),FALSE)</f>
        <v>542.6527966550666</v>
      </c>
      <c r="H26" s="25">
        <f>IF(D26&lt;=Variables!$C$4, (SUM($G$20:G26)), 0)</f>
        <v>3972.949473970184</v>
      </c>
      <c r="I26" s="6"/>
    </row>
    <row r="27" spans="1:9" ht="18.75" x14ac:dyDescent="0.3">
      <c r="A27" s="4"/>
      <c r="B27" s="26">
        <v>8</v>
      </c>
      <c r="C27" s="27">
        <v>2023</v>
      </c>
      <c r="D27" s="27">
        <f t="shared" si="0"/>
        <v>58</v>
      </c>
      <c r="E27" s="28">
        <f>IF(D27&lt;=Variables!$C$4,(E26*(100%+$D$15)),0)</f>
        <v>28994.823114340539</v>
      </c>
      <c r="F27" s="28">
        <f>E27*Variables!$C$2</f>
        <v>447.39012065427448</v>
      </c>
      <c r="G27" s="24">
        <f>VLOOKUP(B27,Revaluation!$B$3:$BC$56, MATCH((Variables!$C$4-($D$20-1)),Revaluation!$B$2:$BC$2,0),FALSE)</f>
        <v>534.67260846896249</v>
      </c>
      <c r="H27" s="25">
        <f>IF(D27&lt;=Variables!$C$4, (SUM($G$20:G27)), 0)</f>
        <v>4507.6220824391467</v>
      </c>
      <c r="I27" s="6"/>
    </row>
    <row r="28" spans="1:9" ht="18.75" x14ac:dyDescent="0.3">
      <c r="A28" s="4"/>
      <c r="B28" s="22">
        <v>9</v>
      </c>
      <c r="C28" s="23">
        <v>2024</v>
      </c>
      <c r="D28" s="23">
        <f t="shared" si="0"/>
        <v>59</v>
      </c>
      <c r="E28" s="24">
        <f>IF(D28&lt;=Variables!$C$4,(E27*(100%+$D$15)),0)</f>
        <v>29139.797229912238</v>
      </c>
      <c r="F28" s="24">
        <f>E28*Variables!$C$2</f>
        <v>449.62707125754582</v>
      </c>
      <c r="G28" s="24">
        <f>VLOOKUP(B28,Revaluation!$B$3:$BC$56, MATCH((Variables!$C$4-($D$20-1)),Revaluation!$B$2:$BC$2,0),FALSE)</f>
        <v>526.80977599147764</v>
      </c>
      <c r="H28" s="25">
        <f>IF(D28&lt;=Variables!$C$4, (SUM($G$20:G28)), 0)</f>
        <v>5034.4318584306238</v>
      </c>
      <c r="I28" s="6"/>
    </row>
    <row r="29" spans="1:9" ht="18.75" x14ac:dyDescent="0.3">
      <c r="A29" s="4"/>
      <c r="B29" s="26">
        <v>10</v>
      </c>
      <c r="C29" s="27">
        <v>2025</v>
      </c>
      <c r="D29" s="27">
        <f t="shared" si="0"/>
        <v>60</v>
      </c>
      <c r="E29" s="28">
        <f>IF(D29&lt;=Variables!$C$4,(E28*(100%+$D$15)),0)</f>
        <v>29285.496216061794</v>
      </c>
      <c r="F29" s="28">
        <f>E29*Variables!$C$2</f>
        <v>451.87520661383348</v>
      </c>
      <c r="G29" s="24">
        <f>VLOOKUP(B29,Revaluation!$B$3:$BC$56, MATCH((Variables!$C$4-($D$20-1)),Revaluation!$B$2:$BC$2,0),FALSE)</f>
        <v>519.06257340336765</v>
      </c>
      <c r="H29" s="25">
        <f>IF(D29&lt;=Variables!$C$4, (SUM($G$20:G29)), 0)</f>
        <v>5553.4944318339913</v>
      </c>
      <c r="I29" s="6"/>
    </row>
    <row r="30" spans="1:9" ht="18.75" x14ac:dyDescent="0.3">
      <c r="A30" s="4"/>
      <c r="B30" s="22">
        <v>11</v>
      </c>
      <c r="C30" s="23">
        <v>2026</v>
      </c>
      <c r="D30" s="23">
        <f t="shared" si="0"/>
        <v>61</v>
      </c>
      <c r="E30" s="24">
        <f>IF(D30&lt;=Variables!$C$4,(E29*(100%+$D$15)),0)</f>
        <v>29431.923697142101</v>
      </c>
      <c r="F30" s="24">
        <f>E30*Variables!$C$2</f>
        <v>454.13458264690263</v>
      </c>
      <c r="G30" s="24">
        <f>VLOOKUP(B30,Revaluation!$B$3:$BC$56, MATCH((Variables!$C$4-($D$20-1)),Revaluation!$B$2:$BC$2,0),FALSE)</f>
        <v>511.42930026508287</v>
      </c>
      <c r="H30" s="25">
        <f>IF(D30&lt;=Variables!$C$4, (SUM($G$20:G30)), 0)</f>
        <v>6064.9237320990742</v>
      </c>
      <c r="I30" s="6"/>
    </row>
    <row r="31" spans="1:9" ht="18.75" x14ac:dyDescent="0.3">
      <c r="A31" s="4"/>
      <c r="B31" s="26">
        <v>12</v>
      </c>
      <c r="C31" s="27">
        <v>2027</v>
      </c>
      <c r="D31" s="27">
        <f t="shared" si="0"/>
        <v>62</v>
      </c>
      <c r="E31" s="28">
        <f>IF(D31&lt;=Variables!$C$4,(E30*(100%+$D$15)),0)</f>
        <v>29579.083315627809</v>
      </c>
      <c r="F31" s="28">
        <f>E31*Variables!$C$2</f>
        <v>456.40525556013711</v>
      </c>
      <c r="G31" s="24">
        <f>VLOOKUP(B31,Revaluation!$B$3:$BC$56, MATCH((Variables!$C$4-($D$20-1)),Revaluation!$B$2:$BC$2,0),FALSE)</f>
        <v>503.90828114353741</v>
      </c>
      <c r="H31" s="25">
        <f>IF(D31&lt;=Variables!$C$4, (SUM($G$20:G31)), 0)</f>
        <v>6568.8320132426115</v>
      </c>
      <c r="I31" s="6"/>
    </row>
    <row r="32" spans="1:9" ht="18.75" x14ac:dyDescent="0.3">
      <c r="A32" s="4"/>
      <c r="B32" s="22">
        <v>13</v>
      </c>
      <c r="C32" s="23">
        <v>2028</v>
      </c>
      <c r="D32" s="23">
        <f t="shared" si="0"/>
        <v>63</v>
      </c>
      <c r="E32" s="24">
        <f>IF(D32&lt;=Variables!$C$4,(E31*(100%+$D$15)),0)</f>
        <v>29726.978732205946</v>
      </c>
      <c r="F32" s="24">
        <f>E32*Variables!$C$2</f>
        <v>458.68728183793775</v>
      </c>
      <c r="G32" s="24">
        <f>VLOOKUP(B32,Revaluation!$B$3:$BC$56, MATCH((Variables!$C$4-($D$20-1)),Revaluation!$B$2:$BC$2,0),FALSE)</f>
        <v>496.49786524436774</v>
      </c>
      <c r="H32" s="25">
        <f>IF(D32&lt;=Variables!$C$4, (SUM($G$20:G32)), 0)</f>
        <v>7065.3298784869794</v>
      </c>
      <c r="I32" s="6"/>
    </row>
    <row r="33" spans="1:9" ht="18.75" x14ac:dyDescent="0.3">
      <c r="A33" s="4"/>
      <c r="B33" s="26">
        <v>14</v>
      </c>
      <c r="C33" s="27">
        <v>2029</v>
      </c>
      <c r="D33" s="27">
        <f t="shared" si="0"/>
        <v>64</v>
      </c>
      <c r="E33" s="28">
        <f>IF(D33&lt;=Variables!$C$4,(E32*(100%+$D$15)),0)</f>
        <v>29875.613625866972</v>
      </c>
      <c r="F33" s="28">
        <f>E33*Variables!$C$2</f>
        <v>460.98071824712736</v>
      </c>
      <c r="G33" s="24">
        <f>VLOOKUP(B33,Revaluation!$B$3:$BC$56, MATCH((Variables!$C$4-($D$20-1)),Revaluation!$B$2:$BC$2,0),FALSE)</f>
        <v>489.19642604959751</v>
      </c>
      <c r="H33" s="25">
        <f>IF(D33&lt;=Variables!$C$4, (SUM($G$20:G33)), 0)</f>
        <v>7554.5263045365773</v>
      </c>
      <c r="I33" s="6"/>
    </row>
    <row r="34" spans="1:9" ht="18.75" x14ac:dyDescent="0.3">
      <c r="A34" s="4"/>
      <c r="B34" s="22">
        <v>15</v>
      </c>
      <c r="C34" s="23">
        <v>2030</v>
      </c>
      <c r="D34" s="23">
        <f t="shared" si="0"/>
        <v>65</v>
      </c>
      <c r="E34" s="24">
        <f>IF(D34&lt;=Variables!$C$4,(E33*(100%+$D$15)),0)</f>
        <v>30024.991693996304</v>
      </c>
      <c r="F34" s="24">
        <f>E34*Variables!$C$2</f>
        <v>463.28562183836294</v>
      </c>
      <c r="G34" s="24">
        <f>VLOOKUP(B34,Revaluation!$B$3:$BC$56, MATCH((Variables!$C$4-($D$20-1)),Revaluation!$B$2:$BC$2,0),FALSE)</f>
        <v>482.00236096063281</v>
      </c>
      <c r="H34" s="25">
        <f>IF(D34&lt;=Variables!$C$4, (SUM($G$20:G34)), 0)</f>
        <v>8036.5286654972097</v>
      </c>
      <c r="I34" s="6"/>
    </row>
    <row r="35" spans="1:9" ht="18.75" x14ac:dyDescent="0.3">
      <c r="A35" s="4"/>
      <c r="B35" s="26">
        <v>16</v>
      </c>
      <c r="C35" s="27">
        <v>2031</v>
      </c>
      <c r="D35" s="27">
        <f t="shared" si="0"/>
        <v>66</v>
      </c>
      <c r="E35" s="28">
        <f>IF(D35&lt;=Variables!$C$4,(E34*(100%+$D$15)),0)</f>
        <v>30175.116652466284</v>
      </c>
      <c r="F35" s="28">
        <f>E35*Variables!$C$2</f>
        <v>465.60204994755475</v>
      </c>
      <c r="G35" s="24">
        <f>VLOOKUP(B35,Revaluation!$B$3:$BC$56, MATCH((Variables!$C$4-($D$20-1)),Revaluation!$B$2:$BC$2,0),FALSE)</f>
        <v>474.91409094650584</v>
      </c>
      <c r="H35" s="25">
        <f>IF(D35&lt;=Variables!$C$4, (SUM($G$20:G35)), 0)</f>
        <v>8511.4427564437156</v>
      </c>
      <c r="I35" s="6"/>
    </row>
    <row r="36" spans="1:9" ht="18.75" x14ac:dyDescent="0.3">
      <c r="A36" s="4"/>
      <c r="B36" s="22">
        <v>17</v>
      </c>
      <c r="C36" s="23">
        <v>2032</v>
      </c>
      <c r="D36" s="23">
        <f t="shared" si="0"/>
        <v>67</v>
      </c>
      <c r="E36" s="24">
        <f>IF(D36&lt;=Variables!$C$4,(E35*(100%+$D$15)),0)</f>
        <v>30325.992235728612</v>
      </c>
      <c r="F36" s="24">
        <f>E36*Variables!$C$2</f>
        <v>467.93006019729245</v>
      </c>
      <c r="G36" s="24">
        <f>VLOOKUP(B36,Revaluation!$B$3:$BC$56, MATCH((Variables!$C$4-($D$20-1)),Revaluation!$B$2:$BC$2,0),FALSE)</f>
        <v>467.93006019729245</v>
      </c>
      <c r="H36" s="25">
        <f>IF(D36&lt;=Variables!$C$4, (SUM($G$20:G36)), 0)</f>
        <v>8979.3728166410074</v>
      </c>
      <c r="I36" s="6"/>
    </row>
    <row r="37" spans="1:9" ht="18.75" x14ac:dyDescent="0.3">
      <c r="A37" s="4"/>
      <c r="B37" s="26">
        <v>18</v>
      </c>
      <c r="C37" s="27">
        <v>2033</v>
      </c>
      <c r="D37" s="27">
        <f t="shared" si="0"/>
        <v>68</v>
      </c>
      <c r="E37" s="28">
        <f>IF(D37&lt;=Variables!$C$4,(E36*(100%+$D$15)),0)</f>
        <v>0</v>
      </c>
      <c r="F37" s="28">
        <f>E37*Variables!$C$2</f>
        <v>0</v>
      </c>
      <c r="G37" s="24">
        <f>VLOOKUP(B37,Revaluation!$B$3:$BC$56, MATCH((Variables!$C$4-($D$20-1)),Revaluation!$B$2:$BC$2,0),FALSE)</f>
        <v>0</v>
      </c>
      <c r="H37" s="25">
        <f>IF(D37&lt;=Variables!$C$4, (SUM($G$20:G37)), 0)</f>
        <v>0</v>
      </c>
      <c r="I37" s="6"/>
    </row>
    <row r="38" spans="1:9" ht="18.75" x14ac:dyDescent="0.3">
      <c r="A38" s="4"/>
      <c r="B38" s="22">
        <v>19</v>
      </c>
      <c r="C38" s="23">
        <v>2034</v>
      </c>
      <c r="D38" s="23">
        <f t="shared" si="0"/>
        <v>69</v>
      </c>
      <c r="E38" s="24">
        <f>IF(D38&lt;=Variables!$C$4,(E37*(100%+$D$15)),0)</f>
        <v>0</v>
      </c>
      <c r="F38" s="24">
        <f>E38*Variables!$C$2</f>
        <v>0</v>
      </c>
      <c r="G38" s="24">
        <f>VLOOKUP(B38,Revaluation!$B$3:$BC$56, MATCH((Variables!$C$4-($D$20-1)),Revaluation!$B$2:$BC$2,0),FALSE)</f>
        <v>0</v>
      </c>
      <c r="H38" s="25">
        <f>IF(D38&lt;=Variables!$C$4, (SUM($G$20:G38)), 0)</f>
        <v>0</v>
      </c>
      <c r="I38" s="6"/>
    </row>
    <row r="39" spans="1:9" ht="18.75" x14ac:dyDescent="0.3">
      <c r="A39" s="4"/>
      <c r="B39" s="26">
        <v>20</v>
      </c>
      <c r="C39" s="27">
        <v>2035</v>
      </c>
      <c r="D39" s="27">
        <f t="shared" si="0"/>
        <v>70</v>
      </c>
      <c r="E39" s="28">
        <f>IF(D39&lt;=Variables!$C$4,(E38*(100%+$D$15)),0)</f>
        <v>0</v>
      </c>
      <c r="F39" s="28">
        <f>E39*Variables!$C$2</f>
        <v>0</v>
      </c>
      <c r="G39" s="24">
        <f>VLOOKUP(B39,Revaluation!$B$3:$BC$56, MATCH((Variables!$C$4-($D$20-1)),Revaluation!$B$2:$BC$2,0),FALSE)</f>
        <v>0</v>
      </c>
      <c r="H39" s="25">
        <f>IF(D39&lt;=Variables!$C$4, (SUM($G$20:G39)), 0)</f>
        <v>0</v>
      </c>
      <c r="I39" s="6"/>
    </row>
    <row r="40" spans="1:9" ht="18.75" x14ac:dyDescent="0.3">
      <c r="A40" s="4"/>
      <c r="B40" s="22">
        <v>21</v>
      </c>
      <c r="C40" s="23">
        <v>2036</v>
      </c>
      <c r="D40" s="23">
        <f t="shared" si="0"/>
        <v>71</v>
      </c>
      <c r="E40" s="24">
        <f>IF(D40&lt;=Variables!$C$4,(E39*(100%+$D$15)),0)</f>
        <v>0</v>
      </c>
      <c r="F40" s="24">
        <f>E40*Variables!$C$2</f>
        <v>0</v>
      </c>
      <c r="G40" s="24">
        <f>VLOOKUP(B40,Revaluation!$B$3:$BC$56, MATCH((Variables!$C$4-($D$20-1)),Revaluation!$B$2:$BC$2,0),FALSE)</f>
        <v>0</v>
      </c>
      <c r="H40" s="25">
        <f>IF(D40&lt;=Variables!$C$4, (SUM($G$20:G40)), 0)</f>
        <v>0</v>
      </c>
      <c r="I40" s="6"/>
    </row>
    <row r="41" spans="1:9" ht="18.75" x14ac:dyDescent="0.3">
      <c r="A41" s="4"/>
      <c r="B41" s="26">
        <v>22</v>
      </c>
      <c r="C41" s="27">
        <v>2037</v>
      </c>
      <c r="D41" s="27">
        <f>D40+1</f>
        <v>72</v>
      </c>
      <c r="E41" s="28">
        <f>IF(D41&lt;=Variables!$C$4,(E40*(100%+$D$15)),0)</f>
        <v>0</v>
      </c>
      <c r="F41" s="28">
        <f>E41*Variables!$C$2</f>
        <v>0</v>
      </c>
      <c r="G41" s="24">
        <f>VLOOKUP(B41,Revaluation!$B$3:$BC$56, MATCH((Variables!$C$4-($D$20-1)),Revaluation!$B$2:$BC$2,0),FALSE)</f>
        <v>0</v>
      </c>
      <c r="H41" s="25">
        <f>IF(D41&lt;=Variables!$C$4, (SUM($G$20:G41)), 0)</f>
        <v>0</v>
      </c>
      <c r="I41" s="6"/>
    </row>
    <row r="42" spans="1:9" ht="18.75" x14ac:dyDescent="0.3">
      <c r="A42" s="4"/>
      <c r="B42" s="22">
        <v>23</v>
      </c>
      <c r="C42" s="23">
        <v>2038</v>
      </c>
      <c r="D42" s="23">
        <f t="shared" ref="D42:D79" si="1">D41+1</f>
        <v>73</v>
      </c>
      <c r="E42" s="24">
        <f>IF(D42&lt;=Variables!$C$4,(E41*(100%+$D$15)),0)</f>
        <v>0</v>
      </c>
      <c r="F42" s="24">
        <f>E42*Variables!$C$2</f>
        <v>0</v>
      </c>
      <c r="G42" s="24">
        <f>VLOOKUP(B42,Revaluation!$B$3:$BC$56, MATCH((Variables!$C$4-($D$20-1)),Revaluation!$B$2:$BC$2,0),FALSE)</f>
        <v>0</v>
      </c>
      <c r="H42" s="25">
        <f>IF(D42&lt;=Variables!$C$4, (SUM($G$20:G42)), 0)</f>
        <v>0</v>
      </c>
      <c r="I42" s="6"/>
    </row>
    <row r="43" spans="1:9" ht="18.75" x14ac:dyDescent="0.3">
      <c r="A43" s="4"/>
      <c r="B43" s="26">
        <v>24</v>
      </c>
      <c r="C43" s="27">
        <v>2039</v>
      </c>
      <c r="D43" s="27">
        <f t="shared" si="1"/>
        <v>74</v>
      </c>
      <c r="E43" s="28">
        <f>IF(D43&lt;=Variables!$C$4,(E42*(100%+$D$15)),0)</f>
        <v>0</v>
      </c>
      <c r="F43" s="28">
        <f>E43*Variables!$C$2</f>
        <v>0</v>
      </c>
      <c r="G43" s="24">
        <f>VLOOKUP(B43,Revaluation!$B$3:$BC$56, MATCH((Variables!$C$4-($D$20-1)),Revaluation!$B$2:$BC$2,0),FALSE)</f>
        <v>0</v>
      </c>
      <c r="H43" s="25">
        <f>IF(D43&lt;=Variables!$C$4, (SUM($G$20:G43)), 0)</f>
        <v>0</v>
      </c>
      <c r="I43" s="6"/>
    </row>
    <row r="44" spans="1:9" ht="18.75" x14ac:dyDescent="0.3">
      <c r="A44" s="4"/>
      <c r="B44" s="22">
        <v>25</v>
      </c>
      <c r="C44" s="23">
        <v>2040</v>
      </c>
      <c r="D44" s="23">
        <f t="shared" si="1"/>
        <v>75</v>
      </c>
      <c r="E44" s="24">
        <f>IF(D44&lt;=Variables!$C$4,(E43*(100%+$D$15)),0)</f>
        <v>0</v>
      </c>
      <c r="F44" s="24">
        <f>E44*Variables!$C$2</f>
        <v>0</v>
      </c>
      <c r="G44" s="24">
        <f>VLOOKUP(B44,Revaluation!$B$3:$BC$56, MATCH((Variables!$C$4-($D$20-1)),Revaluation!$B$2:$BC$2,0),FALSE)</f>
        <v>0</v>
      </c>
      <c r="H44" s="25">
        <f>IF(D44&lt;=Variables!$C$4, (SUM($G$20:G44)), 0)</f>
        <v>0</v>
      </c>
      <c r="I44" s="6"/>
    </row>
    <row r="45" spans="1:9" ht="18.75" x14ac:dyDescent="0.3">
      <c r="A45" s="4"/>
      <c r="B45" s="26">
        <v>26</v>
      </c>
      <c r="C45" s="27">
        <v>2041</v>
      </c>
      <c r="D45" s="27">
        <f t="shared" si="1"/>
        <v>76</v>
      </c>
      <c r="E45" s="28">
        <f>IF(D45&lt;=Variables!$C$4,(E44*(100%+$D$15)),0)</f>
        <v>0</v>
      </c>
      <c r="F45" s="28">
        <f>E45*Variables!$C$2</f>
        <v>0</v>
      </c>
      <c r="G45" s="24">
        <f>VLOOKUP(B45,Revaluation!$B$3:$BC$56, MATCH((Variables!$C$4-($D$20-1)),Revaluation!$B$2:$BC$2,0),FALSE)</f>
        <v>0</v>
      </c>
      <c r="H45" s="25">
        <f>IF(D45&lt;=Variables!$C$4, (SUM($G$20:G45)), 0)</f>
        <v>0</v>
      </c>
      <c r="I45" s="6"/>
    </row>
    <row r="46" spans="1:9" ht="18.75" x14ac:dyDescent="0.3">
      <c r="A46" s="4"/>
      <c r="B46" s="22">
        <v>27</v>
      </c>
      <c r="C46" s="23">
        <v>2042</v>
      </c>
      <c r="D46" s="23">
        <f t="shared" si="1"/>
        <v>77</v>
      </c>
      <c r="E46" s="24">
        <f>IF(D46&lt;=Variables!$C$4,(E45*(100%+$D$15)),0)</f>
        <v>0</v>
      </c>
      <c r="F46" s="24">
        <f>E46*Variables!$C$2</f>
        <v>0</v>
      </c>
      <c r="G46" s="24">
        <f>VLOOKUP(B46,Revaluation!$B$3:$BC$56, MATCH((Variables!$C$4-($D$20-1)),Revaluation!$B$2:$BC$2,0),FALSE)</f>
        <v>0</v>
      </c>
      <c r="H46" s="25">
        <f>IF(D46&lt;=Variables!$C$4, (SUM($G$20:G46)), 0)</f>
        <v>0</v>
      </c>
      <c r="I46" s="6"/>
    </row>
    <row r="47" spans="1:9" ht="18.75" x14ac:dyDescent="0.3">
      <c r="A47" s="4"/>
      <c r="B47" s="26">
        <v>28</v>
      </c>
      <c r="C47" s="27">
        <v>2043</v>
      </c>
      <c r="D47" s="27">
        <f t="shared" si="1"/>
        <v>78</v>
      </c>
      <c r="E47" s="28">
        <f>IF(D47&lt;=Variables!$C$4,(E46*(100%+$D$15)),0)</f>
        <v>0</v>
      </c>
      <c r="F47" s="28">
        <f>E47*Variables!$C$2</f>
        <v>0</v>
      </c>
      <c r="G47" s="24">
        <f>VLOOKUP(B47,Revaluation!$B$3:$BC$56, MATCH((Variables!$C$4-($D$20-1)),Revaluation!$B$2:$BC$2,0),FALSE)</f>
        <v>0</v>
      </c>
      <c r="H47" s="25">
        <f>IF(D47&lt;=Variables!$C$4, (SUM($G$20:G47)), 0)</f>
        <v>0</v>
      </c>
      <c r="I47" s="6"/>
    </row>
    <row r="48" spans="1:9" ht="18.75" x14ac:dyDescent="0.3">
      <c r="A48" s="4"/>
      <c r="B48" s="22">
        <v>29</v>
      </c>
      <c r="C48" s="23">
        <v>2044</v>
      </c>
      <c r="D48" s="23">
        <f t="shared" si="1"/>
        <v>79</v>
      </c>
      <c r="E48" s="24">
        <f>IF(D48&lt;=Variables!$C$4,(E47*(100%+$D$15)),0)</f>
        <v>0</v>
      </c>
      <c r="F48" s="24">
        <f>E48*Variables!$C$2</f>
        <v>0</v>
      </c>
      <c r="G48" s="24">
        <f>VLOOKUP(B48,Revaluation!$B$3:$BC$56, MATCH((Variables!$C$4-($D$20-1)),Revaluation!$B$2:$BC$2,0),FALSE)</f>
        <v>0</v>
      </c>
      <c r="H48" s="25">
        <f>IF(D48&lt;=Variables!$C$4, (SUM($G$20:G48)), 0)</f>
        <v>0</v>
      </c>
      <c r="I48" s="6"/>
    </row>
    <row r="49" spans="1:9" ht="18.75" x14ac:dyDescent="0.3">
      <c r="A49" s="4"/>
      <c r="B49" s="26">
        <v>30</v>
      </c>
      <c r="C49" s="27">
        <v>2045</v>
      </c>
      <c r="D49" s="27">
        <f t="shared" si="1"/>
        <v>80</v>
      </c>
      <c r="E49" s="28">
        <f>IF(D49&lt;=Variables!$C$4,(E48*(100%+$D$15)),0)</f>
        <v>0</v>
      </c>
      <c r="F49" s="28">
        <f>E49*Variables!$C$2</f>
        <v>0</v>
      </c>
      <c r="G49" s="24">
        <f>VLOOKUP(B49,Revaluation!$B$3:$BC$56, MATCH((Variables!$C$4-($D$20-1)),Revaluation!$B$2:$BC$2,0),FALSE)</f>
        <v>0</v>
      </c>
      <c r="H49" s="25">
        <f>IF(D49&lt;=Variables!$C$4, (SUM($G$20:G49)), 0)</f>
        <v>0</v>
      </c>
      <c r="I49" s="6"/>
    </row>
    <row r="50" spans="1:9" ht="18.75" x14ac:dyDescent="0.3">
      <c r="A50" s="4"/>
      <c r="B50" s="22">
        <v>31</v>
      </c>
      <c r="C50" s="23">
        <v>2046</v>
      </c>
      <c r="D50" s="23">
        <f t="shared" si="1"/>
        <v>81</v>
      </c>
      <c r="E50" s="24">
        <f>IF(D50&lt;=Variables!$C$4,(E49*(100%+$D$15)),0)</f>
        <v>0</v>
      </c>
      <c r="F50" s="24">
        <f>E50*Variables!$C$2</f>
        <v>0</v>
      </c>
      <c r="G50" s="24">
        <f>VLOOKUP(B50,Revaluation!$B$3:$BC$56, MATCH((Variables!$C$4-($D$20-1)),Revaluation!$B$2:$BC$2,0),FALSE)</f>
        <v>0</v>
      </c>
      <c r="H50" s="25">
        <f>IF(D50&lt;=Variables!$C$4, (SUM($G$20:G50)), 0)</f>
        <v>0</v>
      </c>
      <c r="I50" s="6"/>
    </row>
    <row r="51" spans="1:9" ht="18.75" x14ac:dyDescent="0.3">
      <c r="A51" s="4"/>
      <c r="B51" s="26">
        <v>32</v>
      </c>
      <c r="C51" s="27">
        <v>2047</v>
      </c>
      <c r="D51" s="27">
        <f t="shared" si="1"/>
        <v>82</v>
      </c>
      <c r="E51" s="28">
        <f>IF(D50&lt;=Variables!$C$4,(E50*(100%+$D$15)),0)</f>
        <v>0</v>
      </c>
      <c r="F51" s="28">
        <f>E51*Variables!$C$2</f>
        <v>0</v>
      </c>
      <c r="G51" s="24">
        <f>VLOOKUP(B51,Revaluation!$B$3:$BC$56, MATCH((Variables!$C$4-($D$20-1)),Revaluation!$B$2:$BC$2,0),FALSE)</f>
        <v>0</v>
      </c>
      <c r="H51" s="25">
        <f>IF(D51&lt;=Variables!$C$4, (SUM($G$20:G51)), 0)</f>
        <v>0</v>
      </c>
      <c r="I51" s="6"/>
    </row>
    <row r="52" spans="1:9" ht="18.75" x14ac:dyDescent="0.3">
      <c r="A52" s="4"/>
      <c r="B52" s="22">
        <v>33</v>
      </c>
      <c r="C52" s="23">
        <v>2048</v>
      </c>
      <c r="D52" s="23">
        <f t="shared" si="1"/>
        <v>83</v>
      </c>
      <c r="E52" s="24">
        <f>IF(D52&lt;=Variables!$C$4,(E51*(100%+$D$15)),0)</f>
        <v>0</v>
      </c>
      <c r="F52" s="24">
        <f>E52*Variables!$C$2</f>
        <v>0</v>
      </c>
      <c r="G52" s="24">
        <f>VLOOKUP(B52,Revaluation!$B$3:$BC$56, MATCH((Variables!$C$4-($D$20-1)),Revaluation!$B$2:$BC$2,0),FALSE)</f>
        <v>0</v>
      </c>
      <c r="H52" s="25">
        <f>IF(D52&lt;=Variables!$C$4, (SUM($G$20:G52)), 0)</f>
        <v>0</v>
      </c>
      <c r="I52" s="6"/>
    </row>
    <row r="53" spans="1:9" ht="18.75" x14ac:dyDescent="0.3">
      <c r="A53" s="4"/>
      <c r="B53" s="26">
        <v>34</v>
      </c>
      <c r="C53" s="27">
        <v>2049</v>
      </c>
      <c r="D53" s="27">
        <f t="shared" si="1"/>
        <v>84</v>
      </c>
      <c r="E53" s="28">
        <f>IF(D53&lt;=Variables!$C$4,(E52*(100%+$D$15)),0)</f>
        <v>0</v>
      </c>
      <c r="F53" s="28">
        <f>E53*Variables!$C$2</f>
        <v>0</v>
      </c>
      <c r="G53" s="24">
        <f>VLOOKUP(B53,Revaluation!$B$3:$BC$56, MATCH((Variables!$C$4-($D$20-1)),Revaluation!$B$2:$BC$2,0),FALSE)</f>
        <v>0</v>
      </c>
      <c r="H53" s="25">
        <f>IF(D53&lt;=Variables!$C$4, (SUM($G$20:G53)), 0)</f>
        <v>0</v>
      </c>
      <c r="I53" s="6"/>
    </row>
    <row r="54" spans="1:9" ht="18.75" x14ac:dyDescent="0.3">
      <c r="A54" s="4"/>
      <c r="B54" s="22">
        <v>35</v>
      </c>
      <c r="C54" s="23">
        <v>2050</v>
      </c>
      <c r="D54" s="23">
        <f t="shared" si="1"/>
        <v>85</v>
      </c>
      <c r="E54" s="24">
        <f>IF(D54&lt;=Variables!$C$4,(E53*(100%+$D$15)),0)</f>
        <v>0</v>
      </c>
      <c r="F54" s="24">
        <f>E54*Variables!$C$2</f>
        <v>0</v>
      </c>
      <c r="G54" s="24">
        <f>VLOOKUP(B54,Revaluation!$B$3:$BC$56, MATCH((Variables!$C$4-($D$20-1)),Revaluation!$B$2:$BC$2,0),FALSE)</f>
        <v>0</v>
      </c>
      <c r="H54" s="25">
        <f>IF(D54&lt;=Variables!$C$4, (SUM($G$20:G54)), 0)</f>
        <v>0</v>
      </c>
      <c r="I54" s="6"/>
    </row>
    <row r="55" spans="1:9" ht="18.75" x14ac:dyDescent="0.3">
      <c r="A55" s="4"/>
      <c r="B55" s="26">
        <v>36</v>
      </c>
      <c r="C55" s="27">
        <v>2051</v>
      </c>
      <c r="D55" s="27">
        <f t="shared" si="1"/>
        <v>86</v>
      </c>
      <c r="E55" s="28">
        <f>IF(D55&lt;=Variables!$C$4,(E54*(100%+$D$15)),0)</f>
        <v>0</v>
      </c>
      <c r="F55" s="28">
        <f>E55*Variables!$C$2</f>
        <v>0</v>
      </c>
      <c r="G55" s="24">
        <f>VLOOKUP(B55,Revaluation!$B$3:$BC$56, MATCH((Variables!$C$4-($D$20-1)),Revaluation!$B$2:$BC$2,0),FALSE)</f>
        <v>0</v>
      </c>
      <c r="H55" s="25">
        <f>IF(D55&lt;=Variables!$C$4, (SUM($G$20:G55)), 0)</f>
        <v>0</v>
      </c>
      <c r="I55" s="6"/>
    </row>
    <row r="56" spans="1:9" ht="18.75" x14ac:dyDescent="0.3">
      <c r="A56" s="4"/>
      <c r="B56" s="22">
        <v>37</v>
      </c>
      <c r="C56" s="23">
        <v>2052</v>
      </c>
      <c r="D56" s="23">
        <f t="shared" si="1"/>
        <v>87</v>
      </c>
      <c r="E56" s="24">
        <f>IF(D56&lt;=Variables!$C$4,(E55*(100%+$D$15)),0)</f>
        <v>0</v>
      </c>
      <c r="F56" s="24">
        <f>E56*Variables!$C$2</f>
        <v>0</v>
      </c>
      <c r="G56" s="24">
        <f>VLOOKUP(B56,Revaluation!$B$3:$BC$56, MATCH((Variables!$C$4-($D$20-1)),Revaluation!$B$2:$BC$2,0),FALSE)</f>
        <v>0</v>
      </c>
      <c r="H56" s="25">
        <f>IF(D56&lt;=Variables!$C$4, (SUM($G$20:G56)), 0)</f>
        <v>0</v>
      </c>
      <c r="I56" s="6"/>
    </row>
    <row r="57" spans="1:9" ht="18.75" x14ac:dyDescent="0.3">
      <c r="A57" s="4"/>
      <c r="B57" s="26">
        <v>38</v>
      </c>
      <c r="C57" s="27">
        <v>2053</v>
      </c>
      <c r="D57" s="27">
        <f t="shared" si="1"/>
        <v>88</v>
      </c>
      <c r="E57" s="28">
        <f>IF(D57&lt;=Variables!$C$4,(E56*(100%+$D$15)),0)</f>
        <v>0</v>
      </c>
      <c r="F57" s="28">
        <f>E57*Variables!$C$2</f>
        <v>0</v>
      </c>
      <c r="G57" s="24">
        <f>VLOOKUP(B57,Revaluation!$B$3:$BC$56, MATCH((Variables!$C$4-($D$20-1)),Revaluation!$B$2:$BC$2,0),FALSE)</f>
        <v>0</v>
      </c>
      <c r="H57" s="25">
        <f>IF(D57&lt;=Variables!$C$4, (SUM($G$20:G57)), 0)</f>
        <v>0</v>
      </c>
      <c r="I57" s="6"/>
    </row>
    <row r="58" spans="1:9" ht="18.75" x14ac:dyDescent="0.3">
      <c r="A58" s="4"/>
      <c r="B58" s="22">
        <v>39</v>
      </c>
      <c r="C58" s="23">
        <v>2054</v>
      </c>
      <c r="D58" s="23">
        <f t="shared" si="1"/>
        <v>89</v>
      </c>
      <c r="E58" s="24">
        <f>IF(D58&lt;=Variables!$C$4,(E57*(100%+$D$15)),0)</f>
        <v>0</v>
      </c>
      <c r="F58" s="24">
        <f>E58*Variables!$C$2</f>
        <v>0</v>
      </c>
      <c r="G58" s="24">
        <f>VLOOKUP(B58,Revaluation!$B$3:$BC$56, MATCH((Variables!$C$4-($D$20-1)),Revaluation!$B$2:$BC$2,0),FALSE)</f>
        <v>0</v>
      </c>
      <c r="H58" s="25">
        <f>IF(D58&lt;=Variables!$C$4, (SUM($G$20:G58)), 0)</f>
        <v>0</v>
      </c>
      <c r="I58" s="6"/>
    </row>
    <row r="59" spans="1:9" ht="18.75" x14ac:dyDescent="0.3">
      <c r="A59" s="4"/>
      <c r="B59" s="26">
        <v>40</v>
      </c>
      <c r="C59" s="27">
        <v>2055</v>
      </c>
      <c r="D59" s="27">
        <f t="shared" si="1"/>
        <v>90</v>
      </c>
      <c r="E59" s="28">
        <f>IF(D59&lt;=Variables!$C$4,(E58*(100%+$D$15)),0)</f>
        <v>0</v>
      </c>
      <c r="F59" s="28">
        <f>E59*Variables!$C$2</f>
        <v>0</v>
      </c>
      <c r="G59" s="24">
        <f>VLOOKUP(B59,Revaluation!$B$3:$BC$56, MATCH((Variables!$C$4-($D$20-1)),Revaluation!$B$2:$BC$2,0),FALSE)</f>
        <v>0</v>
      </c>
      <c r="H59" s="25">
        <f>IF(D59&lt;=Variables!$C$4, (SUM($G$20:G59)), 0)</f>
        <v>0</v>
      </c>
      <c r="I59" s="6"/>
    </row>
    <row r="60" spans="1:9" ht="18.75" x14ac:dyDescent="0.3">
      <c r="A60" s="4"/>
      <c r="B60" s="22">
        <v>41</v>
      </c>
      <c r="C60" s="23">
        <v>2056</v>
      </c>
      <c r="D60" s="23">
        <f t="shared" si="1"/>
        <v>91</v>
      </c>
      <c r="E60" s="24">
        <f>IF(D60&lt;=Variables!$C$4,(E59*(100%+$D$15)),0)</f>
        <v>0</v>
      </c>
      <c r="F60" s="24">
        <f>E60*Variables!$C$2</f>
        <v>0</v>
      </c>
      <c r="G60" s="24">
        <f>VLOOKUP(B60,Revaluation!$B$3:$BC$56, MATCH((Variables!$C$4-($D$20-1)),Revaluation!$B$2:$BC$2,0),FALSE)</f>
        <v>0</v>
      </c>
      <c r="H60" s="25">
        <f>IF(D60&lt;=Variables!$C$4, (SUM($G$20:G60)), 0)</f>
        <v>0</v>
      </c>
      <c r="I60" s="6"/>
    </row>
    <row r="61" spans="1:9" ht="18.75" x14ac:dyDescent="0.3">
      <c r="A61" s="4"/>
      <c r="B61" s="26">
        <v>42</v>
      </c>
      <c r="C61" s="27">
        <v>2057</v>
      </c>
      <c r="D61" s="27">
        <f t="shared" si="1"/>
        <v>92</v>
      </c>
      <c r="E61" s="28">
        <f>IF(D61&lt;=Variables!$C$4,(E60*(100%+$D$15)),0)</f>
        <v>0</v>
      </c>
      <c r="F61" s="28">
        <f>E61*Variables!$C$2</f>
        <v>0</v>
      </c>
      <c r="G61" s="24">
        <f>VLOOKUP(B61,Revaluation!$B$3:$BC$56, MATCH((Variables!$C$4-($D$20-1)),Revaluation!$B$2:$BC$2,0),FALSE)</f>
        <v>0</v>
      </c>
      <c r="H61" s="25">
        <f>IF(D61&lt;=Variables!$C$4, (SUM($G$20:G61)), 0)</f>
        <v>0</v>
      </c>
      <c r="I61" s="6"/>
    </row>
    <row r="62" spans="1:9" ht="18.75" x14ac:dyDescent="0.3">
      <c r="A62" s="4"/>
      <c r="B62" s="22">
        <v>43</v>
      </c>
      <c r="C62" s="23">
        <v>2058</v>
      </c>
      <c r="D62" s="23">
        <f t="shared" si="1"/>
        <v>93</v>
      </c>
      <c r="E62" s="28">
        <f>IF(D62&lt;=Variables!$C$4,(E61*(100%+$D$15)),0)</f>
        <v>0</v>
      </c>
      <c r="F62" s="24">
        <f>E62*Variables!$C$2</f>
        <v>0</v>
      </c>
      <c r="G62" s="24">
        <f>VLOOKUP(B62,Revaluation!$B$3:$BC$56, MATCH((Variables!$C$4-($D$20-1)),Revaluation!$B$2:$BC$2,0),FALSE)</f>
        <v>0</v>
      </c>
      <c r="H62" s="25">
        <f>IF(D62&lt;=Variables!$C$4, (SUM($G$20:G62)), 0)</f>
        <v>0</v>
      </c>
      <c r="I62" s="6"/>
    </row>
    <row r="63" spans="1:9" ht="18.75" x14ac:dyDescent="0.3">
      <c r="A63" s="4"/>
      <c r="B63" s="26">
        <v>44</v>
      </c>
      <c r="C63" s="27">
        <v>2059</v>
      </c>
      <c r="D63" s="27">
        <f t="shared" si="1"/>
        <v>94</v>
      </c>
      <c r="E63" s="28">
        <f>IF(D63&lt;=Variables!$C$4,(E62*(100%+$D$15)),0)</f>
        <v>0</v>
      </c>
      <c r="F63" s="28">
        <f>E63*Variables!$C$2</f>
        <v>0</v>
      </c>
      <c r="G63" s="24">
        <f>VLOOKUP(B63,Revaluation!$B$3:$BC$56, MATCH((Variables!$C$4-($D$20-1)),Revaluation!$B$2:$BC$2,0),FALSE)</f>
        <v>0</v>
      </c>
      <c r="H63" s="25">
        <f>IF(D63&lt;=Variables!$C$4, (SUM($G$20:G63)), 0)</f>
        <v>0</v>
      </c>
      <c r="I63" s="6"/>
    </row>
    <row r="64" spans="1:9" ht="19.5" thickBot="1" x14ac:dyDescent="0.35">
      <c r="A64" s="4"/>
      <c r="B64" s="29">
        <v>45</v>
      </c>
      <c r="C64" s="23">
        <v>2060</v>
      </c>
      <c r="D64" s="30">
        <f t="shared" si="1"/>
        <v>95</v>
      </c>
      <c r="E64" s="24">
        <f>IF(D64&lt;=Variables!$C$4,(E63*(100%+$D$15)),0)</f>
        <v>0</v>
      </c>
      <c r="F64" s="24">
        <f>E64*Variables!$C$2</f>
        <v>0</v>
      </c>
      <c r="G64" s="24">
        <f>VLOOKUP(B64,Revaluation!$B$3:$BC$56, MATCH((Variables!$C$4-($D$20-1)),Revaluation!$B$2:$BC$2,0),FALSE)</f>
        <v>0</v>
      </c>
      <c r="H64" s="25">
        <f>IF(D64&lt;=Variables!$C$4, (SUM($G$20:G64)), 0)</f>
        <v>0</v>
      </c>
      <c r="I64" s="6"/>
    </row>
    <row r="65" spans="1:9" ht="19.5" thickBot="1" x14ac:dyDescent="0.35">
      <c r="A65" s="4"/>
      <c r="B65" s="22">
        <v>46</v>
      </c>
      <c r="C65" s="23">
        <v>2061</v>
      </c>
      <c r="D65" s="30">
        <f t="shared" si="1"/>
        <v>96</v>
      </c>
      <c r="E65" s="28">
        <f>IF(D65&lt;=Variables!$C$4,(E64*(100%+$D$15)),0)</f>
        <v>0</v>
      </c>
      <c r="F65" s="28">
        <f>E65*Variables!$C$2</f>
        <v>0</v>
      </c>
      <c r="G65" s="24">
        <f>VLOOKUP(B65,Revaluation!$B$3:$BC$56, MATCH((Variables!$C$4-($D$20-1)),Revaluation!$B$2:$BC$2,0),FALSE)</f>
        <v>0</v>
      </c>
      <c r="H65" s="25">
        <f>IF(D65&lt;=Variables!$C$4, (SUM($G$20:G65)), 0)</f>
        <v>0</v>
      </c>
      <c r="I65" s="6"/>
    </row>
    <row r="66" spans="1:9" ht="19.5" thickBot="1" x14ac:dyDescent="0.35">
      <c r="A66" s="4"/>
      <c r="B66" s="26">
        <v>47</v>
      </c>
      <c r="C66" s="27">
        <v>2062</v>
      </c>
      <c r="D66" s="30">
        <f t="shared" si="1"/>
        <v>97</v>
      </c>
      <c r="E66" s="24">
        <f>IF(D66&lt;=Variables!$C$4,(E65*(100%+$D$15)),0)</f>
        <v>0</v>
      </c>
      <c r="F66" s="24">
        <f>E66*Variables!$C$2</f>
        <v>0</v>
      </c>
      <c r="G66" s="24">
        <f>VLOOKUP(B66,Revaluation!$B$3:$BC$56, MATCH((Variables!$C$4-($D$20-1)),Revaluation!$B$2:$BC$2,0),FALSE)</f>
        <v>0</v>
      </c>
      <c r="H66" s="25">
        <f>IF(D66&lt;=Variables!$C$4, (SUM($G$20:G66)), 0)</f>
        <v>0</v>
      </c>
      <c r="I66" s="6"/>
    </row>
    <row r="67" spans="1:9" ht="19.5" thickBot="1" x14ac:dyDescent="0.35">
      <c r="A67" s="4"/>
      <c r="B67" s="22">
        <v>48</v>
      </c>
      <c r="C67" s="23">
        <v>2063</v>
      </c>
      <c r="D67" s="30">
        <f t="shared" si="1"/>
        <v>98</v>
      </c>
      <c r="E67" s="28">
        <f>IF(D67&lt;=Variables!$C$4,(E66*(100%+$D$15)),0)</f>
        <v>0</v>
      </c>
      <c r="F67" s="28">
        <f>E67*Variables!$C$2</f>
        <v>0</v>
      </c>
      <c r="G67" s="24">
        <f>VLOOKUP(B67,Revaluation!$B$3:$BC$56, MATCH((Variables!$C$4-($D$20-1)),Revaluation!$B$2:$BC$2,0),FALSE)</f>
        <v>0</v>
      </c>
      <c r="H67" s="25">
        <f>IF(D67&lt;=Variables!$C$4, (SUM($G$20:G67)), 0)</f>
        <v>0</v>
      </c>
      <c r="I67" s="6"/>
    </row>
    <row r="68" spans="1:9" ht="19.5" thickBot="1" x14ac:dyDescent="0.35">
      <c r="A68" s="9"/>
      <c r="B68" s="26">
        <v>49</v>
      </c>
      <c r="C68" s="27">
        <v>2064</v>
      </c>
      <c r="D68" s="30">
        <f t="shared" si="1"/>
        <v>99</v>
      </c>
      <c r="E68" s="24">
        <f>IF(D68&lt;=Variables!$C$4,(E67*(100%+$D$15)),0)</f>
        <v>0</v>
      </c>
      <c r="F68" s="24">
        <f>E68*Variables!$C$2</f>
        <v>0</v>
      </c>
      <c r="G68" s="24">
        <f>VLOOKUP(B68,Revaluation!$B$3:$BC$56, MATCH((Variables!$C$4-($D$20-1)),Revaluation!$B$2:$BC$2,0),FALSE)</f>
        <v>0</v>
      </c>
      <c r="H68" s="25">
        <f>IF(D68&lt;=Variables!$C$4, (SUM($G$20:G68)), 0)</f>
        <v>0</v>
      </c>
      <c r="I68" s="10"/>
    </row>
    <row r="69" spans="1:9" ht="19.5" thickBot="1" x14ac:dyDescent="0.35">
      <c r="B69" s="22">
        <v>50</v>
      </c>
      <c r="C69" s="23">
        <v>2065</v>
      </c>
      <c r="D69" s="30">
        <f t="shared" si="1"/>
        <v>100</v>
      </c>
      <c r="E69" s="24">
        <f>IF(D69&lt;=Variables!$C$4,(E68*(100%+$D$15)),0)</f>
        <v>0</v>
      </c>
      <c r="F69" s="24">
        <f>E69*Variables!$C$2</f>
        <v>0</v>
      </c>
      <c r="G69" s="24">
        <f>VLOOKUP(B69,Revaluation!$B$3:$BC$56, MATCH((Variables!$C$4-($D$20-1)),Revaluation!$B$2:$BC$2,0),FALSE)</f>
        <v>0</v>
      </c>
      <c r="H69" s="25">
        <f>IF(D69&lt;=Variables!$C$4, (SUM($G$20:G69)), 0)</f>
        <v>0</v>
      </c>
    </row>
    <row r="70" spans="1:9" ht="19.5" thickBot="1" x14ac:dyDescent="0.35">
      <c r="B70" s="26">
        <v>51</v>
      </c>
      <c r="C70" s="27">
        <v>2066</v>
      </c>
      <c r="D70" s="30">
        <f t="shared" si="1"/>
        <v>101</v>
      </c>
      <c r="E70" s="24">
        <f>IF(D70&lt;=Variables!$C$4,(E69*(100%+$D$15)),0)</f>
        <v>0</v>
      </c>
      <c r="F70" s="24">
        <f>E70*Variables!$C$2</f>
        <v>0</v>
      </c>
      <c r="G70" s="24">
        <f>VLOOKUP(B70,Revaluation!$B$3:$BC$56, MATCH((Variables!$C$4-($D$20-1)),Revaluation!$B$2:$BC$2,0),FALSE)</f>
        <v>0</v>
      </c>
      <c r="H70" s="25">
        <f>IF(D70&lt;=Variables!$C$4, (SUM($G$20:G70)), 0)</f>
        <v>0</v>
      </c>
    </row>
    <row r="71" spans="1:9" ht="19.5" thickBot="1" x14ac:dyDescent="0.35">
      <c r="B71" s="22">
        <v>52</v>
      </c>
      <c r="C71" s="23">
        <v>2067</v>
      </c>
      <c r="D71" s="30">
        <f t="shared" si="1"/>
        <v>102</v>
      </c>
      <c r="E71" s="24">
        <f>IF(D71&lt;=Variables!$C$4,(E70*(100%+$D$15)),0)</f>
        <v>0</v>
      </c>
      <c r="F71" s="24">
        <f>E71*Variables!$C$2</f>
        <v>0</v>
      </c>
      <c r="G71" s="24">
        <f>VLOOKUP(B71,Revaluation!$B$3:$BC$56, MATCH((Variables!$C$4-($D$20-1)),Revaluation!$B$2:$BC$2,0),FALSE)</f>
        <v>0</v>
      </c>
      <c r="H71" s="25">
        <f>IF(D71&lt;=Variables!$C$4, (SUM($G$20:G71)), 0)</f>
        <v>0</v>
      </c>
    </row>
    <row r="72" spans="1:9" ht="19.5" thickBot="1" x14ac:dyDescent="0.35">
      <c r="B72" s="26">
        <v>53</v>
      </c>
      <c r="C72" s="27">
        <v>2068</v>
      </c>
      <c r="D72" s="30">
        <f t="shared" si="1"/>
        <v>103</v>
      </c>
      <c r="E72" s="24">
        <f>IF(D72&lt;=Variables!$C$4,(E71*(100%+$D$15)),0)</f>
        <v>0</v>
      </c>
      <c r="F72" s="24">
        <f>E72*Variables!$C$2</f>
        <v>0</v>
      </c>
      <c r="G72" s="24">
        <f>VLOOKUP(B72,Revaluation!$B$3:$BC$56, MATCH((Variables!$C$4-($D$20-1)),Revaluation!$B$2:$BC$2,0),FALSE)</f>
        <v>0</v>
      </c>
      <c r="H72" s="25">
        <f>IF(D72&lt;=Variables!$C$4, (SUM($G$20:G72)), 0)</f>
        <v>0</v>
      </c>
    </row>
    <row r="73" spans="1:9" ht="19.5" thickBot="1" x14ac:dyDescent="0.35">
      <c r="B73" s="22">
        <v>54</v>
      </c>
      <c r="C73" s="23">
        <v>2069</v>
      </c>
      <c r="D73" s="30">
        <f t="shared" si="1"/>
        <v>104</v>
      </c>
      <c r="E73" s="24">
        <f>IF(D73&lt;=Variables!$C$4,(E72*(100%+$D$15)),0)</f>
        <v>0</v>
      </c>
      <c r="F73" s="24">
        <f>E73*Variables!$C$2</f>
        <v>0</v>
      </c>
      <c r="G73" s="24" t="e">
        <f>VLOOKUP(B73,Revaluation!$B$3:$BC$56, MATCH((Variables!$C$4-($D$20-1)),Revaluation!$B$2:$BC$2,0),FALSE)</f>
        <v>#N/A</v>
      </c>
      <c r="H73" s="25">
        <f>IF(D73&lt;=Variables!$C$4, (SUM($G$20:G73)), 0)</f>
        <v>0</v>
      </c>
    </row>
    <row r="74" spans="1:9" ht="19.5" thickBot="1" x14ac:dyDescent="0.35">
      <c r="B74" s="26">
        <v>55</v>
      </c>
      <c r="C74" s="27">
        <v>2070</v>
      </c>
      <c r="D74" s="30">
        <f t="shared" si="1"/>
        <v>105</v>
      </c>
      <c r="E74" s="24">
        <f>IF(D74&lt;=Variables!$C$4,(E73*(100%+$D$15)),0)</f>
        <v>0</v>
      </c>
      <c r="F74" s="24">
        <f>E74*Variables!$C$2</f>
        <v>0</v>
      </c>
      <c r="G74" s="24" t="e">
        <f>VLOOKUP(B74,Revaluation!$B$3:$BC$56, MATCH((Variables!$C$4-($D$20-1)),Revaluation!$B$2:$BC$2,0),FALSE)</f>
        <v>#N/A</v>
      </c>
      <c r="H74" s="25">
        <f>IF(D74&lt;=Variables!$C$4, (SUM($G$20:G74)), 0)</f>
        <v>0</v>
      </c>
    </row>
    <row r="75" spans="1:9" ht="19.5" thickBot="1" x14ac:dyDescent="0.35">
      <c r="B75" s="22">
        <v>56</v>
      </c>
      <c r="C75" s="23">
        <v>2071</v>
      </c>
      <c r="D75" s="30">
        <f t="shared" si="1"/>
        <v>106</v>
      </c>
      <c r="E75" s="24">
        <f>IF(D75&lt;=Variables!$C$4,(E74*(100%+$D$15)),0)</f>
        <v>0</v>
      </c>
      <c r="F75" s="24">
        <f>E75*Variables!$C$2</f>
        <v>0</v>
      </c>
      <c r="G75" s="24" t="e">
        <f>VLOOKUP(B75,Revaluation!$B$3:$BC$56, MATCH((Variables!$C$4-($D$20-1)),Revaluation!$B$2:$BC$2,0),FALSE)</f>
        <v>#N/A</v>
      </c>
      <c r="H75" s="25">
        <f>IF(D75&lt;=Variables!$C$4, (SUM($G$20:G75)), 0)</f>
        <v>0</v>
      </c>
    </row>
    <row r="76" spans="1:9" ht="19.5" thickBot="1" x14ac:dyDescent="0.35">
      <c r="B76" s="26">
        <v>57</v>
      </c>
      <c r="C76" s="27">
        <v>2072</v>
      </c>
      <c r="D76" s="30">
        <f t="shared" si="1"/>
        <v>107</v>
      </c>
      <c r="E76" s="24">
        <f>IF(D76&lt;=Variables!$C$4,(E75*(100%+$D$15)),0)</f>
        <v>0</v>
      </c>
      <c r="F76" s="24">
        <f>E76*Variables!$C$2</f>
        <v>0</v>
      </c>
      <c r="G76" s="24" t="e">
        <f>VLOOKUP(B76,Revaluation!$B$3:$BC$56, MATCH((Variables!$C$4-($D$20-1)),Revaluation!$B$2:$BC$2,0),FALSE)</f>
        <v>#N/A</v>
      </c>
      <c r="H76" s="25">
        <f>IF(D76&lt;=Variables!$C$4, (SUM($G$20:G76)), 0)</f>
        <v>0</v>
      </c>
    </row>
    <row r="77" spans="1:9" ht="19.5" thickBot="1" x14ac:dyDescent="0.35">
      <c r="B77" s="22">
        <v>58</v>
      </c>
      <c r="C77" s="23">
        <v>2073</v>
      </c>
      <c r="D77" s="30">
        <f t="shared" si="1"/>
        <v>108</v>
      </c>
      <c r="E77" s="24">
        <f>IF(D77&lt;=Variables!$C$4,(E76*(100%+$D$15)),0)</f>
        <v>0</v>
      </c>
      <c r="F77" s="24">
        <f>E77*Variables!$C$2</f>
        <v>0</v>
      </c>
      <c r="G77" s="24" t="e">
        <f>VLOOKUP(B77,Revaluation!$B$3:$BC$56, MATCH((Variables!$C$4-($D$20-1)),Revaluation!$B$2:$BC$2,0),FALSE)</f>
        <v>#N/A</v>
      </c>
      <c r="H77" s="25">
        <f>IF(D77&lt;=Variables!$C$4, (SUM($G$20:G77)), 0)</f>
        <v>0</v>
      </c>
    </row>
    <row r="78" spans="1:9" ht="19.5" thickBot="1" x14ac:dyDescent="0.35">
      <c r="B78" s="26">
        <v>59</v>
      </c>
      <c r="C78" s="27">
        <v>2074</v>
      </c>
      <c r="D78" s="30">
        <f t="shared" si="1"/>
        <v>109</v>
      </c>
      <c r="E78" s="24">
        <f>IF(D78&lt;=Variables!$C$4,(E77*(100%+$D$15)),0)</f>
        <v>0</v>
      </c>
      <c r="F78" s="24">
        <f>E78*Variables!$C$2</f>
        <v>0</v>
      </c>
      <c r="G78" s="24" t="e">
        <f>VLOOKUP(B78,Revaluation!$B$3:$BC$56, MATCH((Variables!$C$4-($D$20-1)),Revaluation!$B$2:$BC$2,0),FALSE)</f>
        <v>#N/A</v>
      </c>
      <c r="H78" s="25">
        <f>IF(D78&lt;=Variables!$C$4, (SUM($G$20:G78)), 0)</f>
        <v>0</v>
      </c>
    </row>
    <row r="79" spans="1:9" ht="19.5" thickBot="1" x14ac:dyDescent="0.35">
      <c r="B79" s="22">
        <v>60</v>
      </c>
      <c r="C79" s="23">
        <v>2075</v>
      </c>
      <c r="D79" s="30">
        <f t="shared" si="1"/>
        <v>110</v>
      </c>
      <c r="E79" s="24">
        <f>IF(D79&lt;=Variables!$C$4,(E78*(100%+$D$15)),0)</f>
        <v>0</v>
      </c>
      <c r="F79" s="24">
        <f>E79*Variables!$C$2</f>
        <v>0</v>
      </c>
      <c r="G79" s="24" t="e">
        <f>VLOOKUP(B79,Revaluation!$B$3:$BC$56, MATCH((Variables!$C$4-($D$20-1)),Revaluation!$B$2:$BC$2,0),FALSE)</f>
        <v>#N/A</v>
      </c>
      <c r="H79" s="25">
        <f>IF(D79&lt;=Variables!$C$4, (SUM($G$20:G79)), 0)</f>
        <v>0</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38"/>
  <sheetViews>
    <sheetView topLeftCell="A13" workbookViewId="0">
      <selection activeCell="B39" sqref="B39"/>
    </sheetView>
  </sheetViews>
  <sheetFormatPr defaultRowHeight="15" x14ac:dyDescent="0.25"/>
  <cols>
    <col min="1" max="1" width="9.140625" style="31"/>
    <col min="2" max="2" width="198.42578125" style="156" customWidth="1"/>
    <col min="3" max="16384" width="9.140625" style="31"/>
  </cols>
  <sheetData>
    <row r="1" spans="2:2" ht="21" x14ac:dyDescent="0.35">
      <c r="B1" s="159" t="s">
        <v>146</v>
      </c>
    </row>
    <row r="3" spans="2:2" ht="18.75" x14ac:dyDescent="0.3">
      <c r="B3" s="158" t="s">
        <v>122</v>
      </c>
    </row>
    <row r="4" spans="2:2" x14ac:dyDescent="0.25">
      <c r="B4" s="156" t="s">
        <v>121</v>
      </c>
    </row>
    <row r="5" spans="2:2" x14ac:dyDescent="0.25">
      <c r="B5" s="156" t="s">
        <v>147</v>
      </c>
    </row>
    <row r="6" spans="2:2" ht="30" x14ac:dyDescent="0.25">
      <c r="B6" s="156" t="s">
        <v>148</v>
      </c>
    </row>
    <row r="8" spans="2:2" ht="30" x14ac:dyDescent="0.25">
      <c r="B8" s="156" t="s">
        <v>149</v>
      </c>
    </row>
    <row r="9" spans="2:2" x14ac:dyDescent="0.25">
      <c r="B9" s="156" t="s">
        <v>120</v>
      </c>
    </row>
    <row r="11" spans="2:2" x14ac:dyDescent="0.25">
      <c r="B11" s="156" t="s">
        <v>119</v>
      </c>
    </row>
    <row r="13" spans="2:2" x14ac:dyDescent="0.25">
      <c r="B13" s="156" t="s">
        <v>151</v>
      </c>
    </row>
    <row r="15" spans="2:2" ht="30" x14ac:dyDescent="0.25">
      <c r="B15" s="156" t="s">
        <v>118</v>
      </c>
    </row>
    <row r="16" spans="2:2" x14ac:dyDescent="0.25">
      <c r="B16" s="156" t="s">
        <v>117</v>
      </c>
    </row>
    <row r="18" spans="2:2" ht="30" x14ac:dyDescent="0.25">
      <c r="B18" s="156" t="s">
        <v>116</v>
      </c>
    </row>
    <row r="19" spans="2:2" x14ac:dyDescent="0.25">
      <c r="B19" s="156" t="s">
        <v>115</v>
      </c>
    </row>
    <row r="21" spans="2:2" ht="18.75" x14ac:dyDescent="0.3">
      <c r="B21" s="158" t="s">
        <v>114</v>
      </c>
    </row>
    <row r="23" spans="2:2" x14ac:dyDescent="0.25">
      <c r="B23" s="156" t="s">
        <v>113</v>
      </c>
    </row>
    <row r="24" spans="2:2" x14ac:dyDescent="0.25">
      <c r="B24" s="156" t="s">
        <v>152</v>
      </c>
    </row>
    <row r="25" spans="2:2" x14ac:dyDescent="0.25">
      <c r="B25" s="156" t="s">
        <v>112</v>
      </c>
    </row>
    <row r="26" spans="2:2" ht="30" x14ac:dyDescent="0.25">
      <c r="B26" s="156" t="s">
        <v>111</v>
      </c>
    </row>
    <row r="27" spans="2:2" x14ac:dyDescent="0.25">
      <c r="B27" s="156" t="s">
        <v>110</v>
      </c>
    </row>
    <row r="28" spans="2:2" x14ac:dyDescent="0.25">
      <c r="B28" s="156" t="s">
        <v>109</v>
      </c>
    </row>
    <row r="29" spans="2:2" ht="30" x14ac:dyDescent="0.25">
      <c r="B29" s="156" t="s">
        <v>108</v>
      </c>
    </row>
    <row r="30" spans="2:2" x14ac:dyDescent="0.25">
      <c r="B30" s="194" t="s">
        <v>127</v>
      </c>
    </row>
    <row r="31" spans="2:2" x14ac:dyDescent="0.25">
      <c r="B31" s="194" t="s">
        <v>125</v>
      </c>
    </row>
    <row r="32" spans="2:2" x14ac:dyDescent="0.25">
      <c r="B32" s="193"/>
    </row>
    <row r="33" spans="2:2" ht="18.75" x14ac:dyDescent="0.3">
      <c r="B33" s="158" t="s">
        <v>107</v>
      </c>
    </row>
    <row r="34" spans="2:2" x14ac:dyDescent="0.25">
      <c r="B34" s="157"/>
    </row>
    <row r="35" spans="2:2" x14ac:dyDescent="0.25">
      <c r="B35" s="156" t="s">
        <v>153</v>
      </c>
    </row>
    <row r="37" spans="2:2" x14ac:dyDescent="0.25">
      <c r="B37" s="156" t="s">
        <v>154</v>
      </c>
    </row>
    <row r="38" spans="2:2" x14ac:dyDescent="0.25">
      <c r="B38" s="156" t="s">
        <v>106</v>
      </c>
    </row>
  </sheetData>
  <sheetProtection password="DDB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9" t="s">
        <v>9</v>
      </c>
      <c r="B1" s="209"/>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8</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G4" sqref="G4:G8"/>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4</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28000</v>
      </c>
      <c r="B4" s="45">
        <v>1</v>
      </c>
      <c r="C4" s="46">
        <f>$A4*Variables!$C$2</f>
        <v>432.03999999999996</v>
      </c>
      <c r="D4" s="46">
        <f t="shared" ref="D4:Y4" si="0">(C4*$A$1)+C4</f>
        <v>440.68079999999998</v>
      </c>
      <c r="E4" s="46">
        <f t="shared" si="0"/>
        <v>449.494416</v>
      </c>
      <c r="F4" s="46">
        <f t="shared" si="0"/>
        <v>458.48430431999998</v>
      </c>
      <c r="G4" s="46">
        <f>(F4*$A$1)+F4</f>
        <v>467.6539904064</v>
      </c>
      <c r="H4" s="46">
        <f t="shared" si="0"/>
        <v>477.00707021452797</v>
      </c>
      <c r="I4" s="46">
        <f t="shared" si="0"/>
        <v>486.54721161881855</v>
      </c>
      <c r="J4" s="46">
        <f t="shared" si="0"/>
        <v>496.27815585119492</v>
      </c>
      <c r="K4" s="46">
        <f t="shared" si="0"/>
        <v>506.20371896821882</v>
      </c>
      <c r="L4" s="46">
        <f t="shared" si="0"/>
        <v>516.32779334758322</v>
      </c>
      <c r="M4" s="46">
        <f t="shared" si="0"/>
        <v>526.65434921453493</v>
      </c>
      <c r="N4" s="46">
        <f t="shared" si="0"/>
        <v>537.18743619882559</v>
      </c>
      <c r="O4" s="46">
        <f t="shared" si="0"/>
        <v>547.93118492280212</v>
      </c>
      <c r="P4" s="46">
        <f t="shared" si="0"/>
        <v>558.88980862125811</v>
      </c>
      <c r="Q4" s="46">
        <f t="shared" si="0"/>
        <v>570.06760479368324</v>
      </c>
      <c r="R4" s="46">
        <f t="shared" si="0"/>
        <v>581.46895688955692</v>
      </c>
      <c r="S4" s="46">
        <f t="shared" si="0"/>
        <v>593.09833602734807</v>
      </c>
      <c r="T4" s="46">
        <f t="shared" si="0"/>
        <v>604.96030274789507</v>
      </c>
      <c r="U4" s="46">
        <f t="shared" si="0"/>
        <v>617.05950880285297</v>
      </c>
      <c r="V4" s="46">
        <f t="shared" si="0"/>
        <v>629.40069897890999</v>
      </c>
      <c r="W4" s="46">
        <f t="shared" si="0"/>
        <v>641.98871295848824</v>
      </c>
      <c r="X4" s="46">
        <f t="shared" si="0"/>
        <v>654.82848721765799</v>
      </c>
      <c r="Y4" s="46">
        <f t="shared" si="0"/>
        <v>667.92505696201113</v>
      </c>
      <c r="Z4" s="46">
        <f t="shared" ref="Z4:Z26" si="1">(Y4*$A$1)+Y4</f>
        <v>681.2835581012514</v>
      </c>
      <c r="AA4" s="46">
        <f t="shared" ref="AA4:AA27" si="2">(Z4*$A$1)+Z4</f>
        <v>694.90922926327642</v>
      </c>
      <c r="AB4" s="46">
        <f t="shared" ref="AB4:AB28" si="3">(AA4*$A$1)+AA4</f>
        <v>708.80741384854196</v>
      </c>
      <c r="AC4" s="46">
        <f t="shared" ref="AC4:AC29" si="4">(AB4*$A$1)+AB4</f>
        <v>722.98356212551278</v>
      </c>
      <c r="AD4" s="46">
        <f t="shared" ref="AD4:AD30" si="5">(AC4*$A$1)+AC4</f>
        <v>737.44323336802302</v>
      </c>
      <c r="AE4" s="46">
        <f t="shared" ref="AE4:AE31" si="6">(AD4*$A$1)+AD4</f>
        <v>752.19209803538342</v>
      </c>
      <c r="AF4" s="46">
        <f t="shared" ref="AF4:AF32" si="7">(AE4*$A$1)+AE4</f>
        <v>767.23593999609113</v>
      </c>
      <c r="AG4" s="46">
        <f t="shared" ref="AG4:AG33" si="8">(AF4*$A$1)+AF4</f>
        <v>782.58065879601293</v>
      </c>
      <c r="AH4" s="46">
        <f t="shared" ref="AH4:AH34" si="9">(AG4*$A$1)+AG4</f>
        <v>798.23227197193319</v>
      </c>
      <c r="AI4" s="46">
        <f t="shared" ref="AI4:AI35" si="10">(AH4*$A$1)+AH4</f>
        <v>814.19691741137183</v>
      </c>
      <c r="AJ4" s="46">
        <f t="shared" ref="AJ4:AJ36" si="11">(AI4*$A$1)+AI4</f>
        <v>830.48085575959931</v>
      </c>
      <c r="AK4" s="46">
        <f t="shared" ref="AK4:AK37" si="12">(AJ4*$A$1)+AJ4</f>
        <v>847.09047287479132</v>
      </c>
      <c r="AL4" s="46">
        <f t="shared" ref="AL4:AL38" si="13">(AK4*$A$1)+AK4</f>
        <v>864.0322823322872</v>
      </c>
      <c r="AM4" s="46">
        <f t="shared" ref="AM4:AM39" si="14">(AL4*$A$1)+AL4</f>
        <v>881.31292797893298</v>
      </c>
      <c r="AN4" s="46">
        <f t="shared" ref="AN4:AN40" si="15">(AM4*$A$1)+AM4</f>
        <v>898.93918653851165</v>
      </c>
      <c r="AO4" s="46">
        <f t="shared" ref="AO4:AO41" si="16">(AN4*$A$1)+AN4</f>
        <v>916.91797026928191</v>
      </c>
      <c r="AP4" s="46">
        <f t="shared" ref="AP4:AP42" si="17">(AO4*$A$1)+AO4</f>
        <v>935.25632967466754</v>
      </c>
      <c r="AQ4" s="46">
        <f t="shared" ref="AQ4:AQ43" si="18">(AP4*$A$1)+AP4</f>
        <v>953.96145626816087</v>
      </c>
      <c r="AR4" s="46">
        <f t="shared" ref="AR4:AR44" si="19">(AQ4*$A$1)+AQ4</f>
        <v>973.04068539352409</v>
      </c>
      <c r="AS4" s="46">
        <f t="shared" ref="AS4:AS45" si="20">(AR4*$A$1)+AR4</f>
        <v>992.50149910139453</v>
      </c>
      <c r="AT4" s="46">
        <f t="shared" ref="AT4:AT46" si="21">(AS4*$A$1)+AS4</f>
        <v>1012.3515290834224</v>
      </c>
      <c r="AU4" s="47">
        <f t="shared" ref="AU4:BF48" si="22">(AT4*$A$1)+AT4</f>
        <v>1032.5985596650908</v>
      </c>
      <c r="AV4" s="47">
        <f t="shared" ref="AV4:AV30" si="23">(AU4*$A$1)+AU4</f>
        <v>1053.2505308583925</v>
      </c>
      <c r="AW4" s="47">
        <f t="shared" ref="AW4:AW52" si="24">(AV4*$A$1)+AV4</f>
        <v>1074.3155414755604</v>
      </c>
      <c r="AX4" s="47">
        <f t="shared" ref="AX4:AX30" si="25">(AW4*$A$1)+AW4</f>
        <v>1095.8018523050716</v>
      </c>
      <c r="AY4" s="47">
        <f t="shared" ref="AY4:AY30" si="26">(AX4*$A$1)+AX4</f>
        <v>1117.717889351173</v>
      </c>
      <c r="AZ4" s="47">
        <f t="shared" ref="AZ4:AZ30" si="27">(AY4*$A$1)+AY4</f>
        <v>1140.0722471381964</v>
      </c>
      <c r="BA4" s="47">
        <f t="shared" ref="BA4:BA30" si="28">(AZ4*$A$1)+AZ4</f>
        <v>1162.8736920809604</v>
      </c>
      <c r="BB4" s="47">
        <f t="shared" ref="BB4:BB30" si="29">(BA4*$A$1)+BA4</f>
        <v>1186.1311659225796</v>
      </c>
      <c r="BC4" s="47">
        <f t="shared" ref="BC4:BC30" si="30">(BB4*$A$1)+BB4</f>
        <v>1209.8537892410311</v>
      </c>
      <c r="BD4" s="90">
        <f t="shared" ref="BD4:BD30" si="31">(BC4*$A$1)+BC4</f>
        <v>1234.0508650258516</v>
      </c>
      <c r="BE4" s="90">
        <f t="shared" ref="BE4:BE30" si="32">(BD4*$A$1)+BD4</f>
        <v>1258.7318823263686</v>
      </c>
      <c r="BF4" s="90">
        <f t="shared" ref="BF4:BF30" si="33">(BE4*$A$1)+BE4</f>
        <v>1283.9065199728959</v>
      </c>
      <c r="BG4" s="90">
        <f t="shared" ref="BG4:BG54" si="34">(BF4*$A$1)+BF4</f>
        <v>1309.5846503723537</v>
      </c>
      <c r="BH4" s="90">
        <f t="shared" ref="BH4:BH52" si="35">(BG4*$A$1)+BG4</f>
        <v>1335.7763433798009</v>
      </c>
    </row>
    <row r="5" spans="1:65" x14ac:dyDescent="0.25">
      <c r="A5" s="44">
        <f>'2015 Pension Calculation'!E21</f>
        <v>28139.999999999996</v>
      </c>
      <c r="B5" s="45">
        <v>2</v>
      </c>
      <c r="C5" s="48"/>
      <c r="D5" s="46">
        <f>$A5*Variables!$C$2</f>
        <v>434.20019999999994</v>
      </c>
      <c r="E5" s="46">
        <f t="shared" ref="E5:Y5" si="36">(D5*$A$1)+D5</f>
        <v>442.88420399999995</v>
      </c>
      <c r="F5" s="46">
        <f t="shared" si="36"/>
        <v>451.74188807999997</v>
      </c>
      <c r="G5" s="46">
        <f t="shared" si="36"/>
        <v>460.77672584159995</v>
      </c>
      <c r="H5" s="46">
        <f t="shared" si="36"/>
        <v>469.99226035843196</v>
      </c>
      <c r="I5" s="46">
        <f t="shared" si="36"/>
        <v>479.39210556560062</v>
      </c>
      <c r="J5" s="46">
        <f t="shared" si="36"/>
        <v>488.97994767691262</v>
      </c>
      <c r="K5" s="46">
        <f t="shared" si="36"/>
        <v>498.75954663045087</v>
      </c>
      <c r="L5" s="46">
        <f t="shared" si="36"/>
        <v>508.73473756305987</v>
      </c>
      <c r="M5" s="46">
        <f t="shared" si="36"/>
        <v>518.90943231432107</v>
      </c>
      <c r="N5" s="46">
        <f t="shared" si="36"/>
        <v>529.28762096060746</v>
      </c>
      <c r="O5" s="46">
        <f t="shared" si="36"/>
        <v>539.87337337981955</v>
      </c>
      <c r="P5" s="46">
        <f t="shared" si="36"/>
        <v>550.670840847416</v>
      </c>
      <c r="Q5" s="46">
        <f t="shared" si="36"/>
        <v>561.68425766436428</v>
      </c>
      <c r="R5" s="46">
        <f t="shared" si="36"/>
        <v>572.91794281765158</v>
      </c>
      <c r="S5" s="46">
        <f t="shared" si="36"/>
        <v>584.37630167400459</v>
      </c>
      <c r="T5" s="46">
        <f t="shared" si="36"/>
        <v>596.06382770748473</v>
      </c>
      <c r="U5" s="46">
        <f t="shared" si="36"/>
        <v>607.98510426163443</v>
      </c>
      <c r="V5" s="46">
        <f t="shared" si="36"/>
        <v>620.14480634686709</v>
      </c>
      <c r="W5" s="46">
        <f t="shared" si="36"/>
        <v>632.54770247380441</v>
      </c>
      <c r="X5" s="46">
        <f t="shared" si="36"/>
        <v>645.19865652328053</v>
      </c>
      <c r="Y5" s="46">
        <f t="shared" si="36"/>
        <v>658.10262965374613</v>
      </c>
      <c r="Z5" s="46">
        <f t="shared" si="1"/>
        <v>671.26468224682105</v>
      </c>
      <c r="AA5" s="46">
        <f t="shared" si="2"/>
        <v>684.68997589175751</v>
      </c>
      <c r="AB5" s="46">
        <f t="shared" si="3"/>
        <v>698.38377540959266</v>
      </c>
      <c r="AC5" s="46">
        <f t="shared" si="4"/>
        <v>712.35145091778452</v>
      </c>
      <c r="AD5" s="46">
        <f t="shared" si="5"/>
        <v>726.59847993614017</v>
      </c>
      <c r="AE5" s="46">
        <f t="shared" si="6"/>
        <v>741.13044953486292</v>
      </c>
      <c r="AF5" s="46">
        <f t="shared" si="7"/>
        <v>755.95305852556021</v>
      </c>
      <c r="AG5" s="46">
        <f t="shared" si="8"/>
        <v>771.07211969607147</v>
      </c>
      <c r="AH5" s="46">
        <f t="shared" si="9"/>
        <v>786.49356208999291</v>
      </c>
      <c r="AI5" s="46">
        <f t="shared" si="10"/>
        <v>802.22343333179276</v>
      </c>
      <c r="AJ5" s="46">
        <f t="shared" si="11"/>
        <v>818.26790199842867</v>
      </c>
      <c r="AK5" s="46">
        <f t="shared" si="12"/>
        <v>834.63326003839722</v>
      </c>
      <c r="AL5" s="46">
        <f t="shared" si="13"/>
        <v>851.32592523916514</v>
      </c>
      <c r="AM5" s="46">
        <f t="shared" si="14"/>
        <v>868.35244374394847</v>
      </c>
      <c r="AN5" s="46">
        <f t="shared" si="15"/>
        <v>885.71949261882742</v>
      </c>
      <c r="AO5" s="46">
        <f t="shared" si="16"/>
        <v>903.43388247120402</v>
      </c>
      <c r="AP5" s="46">
        <f t="shared" si="17"/>
        <v>921.50256012062812</v>
      </c>
      <c r="AQ5" s="46">
        <f t="shared" si="18"/>
        <v>939.93261132304065</v>
      </c>
      <c r="AR5" s="46">
        <f t="shared" si="19"/>
        <v>958.73126354950148</v>
      </c>
      <c r="AS5" s="46">
        <f t="shared" si="20"/>
        <v>977.90588882049155</v>
      </c>
      <c r="AT5" s="46">
        <f t="shared" si="21"/>
        <v>997.46400659690141</v>
      </c>
      <c r="AU5" s="47">
        <f t="shared" si="22"/>
        <v>1017.4132867288395</v>
      </c>
      <c r="AV5" s="47">
        <f t="shared" si="23"/>
        <v>1037.7615524634164</v>
      </c>
      <c r="AW5" s="47">
        <f t="shared" si="24"/>
        <v>1058.5167835126847</v>
      </c>
      <c r="AX5" s="47">
        <f t="shared" si="25"/>
        <v>1079.6871191829384</v>
      </c>
      <c r="AY5" s="47">
        <f t="shared" si="26"/>
        <v>1101.2808615665972</v>
      </c>
      <c r="AZ5" s="47">
        <f t="shared" si="27"/>
        <v>1123.3064787979292</v>
      </c>
      <c r="BA5" s="47">
        <f t="shared" si="28"/>
        <v>1145.7726083738878</v>
      </c>
      <c r="BB5" s="47">
        <f t="shared" si="29"/>
        <v>1168.6880605413655</v>
      </c>
      <c r="BC5" s="47">
        <f t="shared" si="30"/>
        <v>1192.0618217521928</v>
      </c>
      <c r="BD5" s="90">
        <f t="shared" si="31"/>
        <v>1215.9030581872366</v>
      </c>
      <c r="BE5" s="90">
        <f t="shared" si="32"/>
        <v>1240.2211193509813</v>
      </c>
      <c r="BF5" s="90">
        <f t="shared" si="33"/>
        <v>1265.025541738001</v>
      </c>
      <c r="BG5" s="90">
        <f t="shared" si="34"/>
        <v>1290.326052572761</v>
      </c>
      <c r="BH5" s="90">
        <f t="shared" si="35"/>
        <v>1316.1325736242163</v>
      </c>
    </row>
    <row r="6" spans="1:65" x14ac:dyDescent="0.25">
      <c r="A6" s="44">
        <f>'2015 Pension Calculation'!E22</f>
        <v>28280.699999999993</v>
      </c>
      <c r="B6" s="45">
        <v>3</v>
      </c>
      <c r="C6" s="48"/>
      <c r="D6" s="48"/>
      <c r="E6" s="46">
        <f>$A6*Variables!$C$2</f>
        <v>436.37120099999987</v>
      </c>
      <c r="F6" s="46">
        <f t="shared" ref="F6:Y6" si="37">(E6*$A$1)+E6</f>
        <v>445.09862501999987</v>
      </c>
      <c r="G6" s="46">
        <f t="shared" si="37"/>
        <v>454.00059752039988</v>
      </c>
      <c r="H6" s="46">
        <f t="shared" si="37"/>
        <v>463.08060947080787</v>
      </c>
      <c r="I6" s="46">
        <f t="shared" si="37"/>
        <v>472.34222166022403</v>
      </c>
      <c r="J6" s="46">
        <f t="shared" si="37"/>
        <v>481.78906609342852</v>
      </c>
      <c r="K6" s="46">
        <f t="shared" si="37"/>
        <v>491.42484741529711</v>
      </c>
      <c r="L6" s="46">
        <f t="shared" si="37"/>
        <v>501.25334436360305</v>
      </c>
      <c r="M6" s="46">
        <f t="shared" si="37"/>
        <v>511.27841125087514</v>
      </c>
      <c r="N6" s="46">
        <f t="shared" si="37"/>
        <v>521.50397947589261</v>
      </c>
      <c r="O6" s="46">
        <f t="shared" si="37"/>
        <v>531.93405906541045</v>
      </c>
      <c r="P6" s="46">
        <f t="shared" si="37"/>
        <v>542.57274024671869</v>
      </c>
      <c r="Q6" s="46">
        <f t="shared" si="37"/>
        <v>553.4241950516531</v>
      </c>
      <c r="R6" s="46">
        <f t="shared" si="37"/>
        <v>564.49267895268622</v>
      </c>
      <c r="S6" s="46">
        <f t="shared" si="37"/>
        <v>575.78253253173989</v>
      </c>
      <c r="T6" s="46">
        <f t="shared" si="37"/>
        <v>587.29818318237471</v>
      </c>
      <c r="U6" s="46">
        <f t="shared" si="37"/>
        <v>599.04414684602216</v>
      </c>
      <c r="V6" s="46">
        <f t="shared" si="37"/>
        <v>611.02502978294262</v>
      </c>
      <c r="W6" s="46">
        <f t="shared" si="37"/>
        <v>623.24553037860153</v>
      </c>
      <c r="X6" s="46">
        <f t="shared" si="37"/>
        <v>635.71044098617358</v>
      </c>
      <c r="Y6" s="46">
        <f t="shared" si="37"/>
        <v>648.42464980589705</v>
      </c>
      <c r="Z6" s="46">
        <f t="shared" si="1"/>
        <v>661.39314280201495</v>
      </c>
      <c r="AA6" s="46">
        <f t="shared" si="2"/>
        <v>674.6210056580552</v>
      </c>
      <c r="AB6" s="46">
        <f t="shared" si="3"/>
        <v>688.11342577121627</v>
      </c>
      <c r="AC6" s="46">
        <f t="shared" si="4"/>
        <v>701.87569428664062</v>
      </c>
      <c r="AD6" s="46">
        <f t="shared" si="5"/>
        <v>715.9132081723734</v>
      </c>
      <c r="AE6" s="46">
        <f t="shared" si="6"/>
        <v>730.23147233582085</v>
      </c>
      <c r="AF6" s="46">
        <f t="shared" si="7"/>
        <v>744.8361017825373</v>
      </c>
      <c r="AG6" s="46">
        <f t="shared" si="8"/>
        <v>759.73282381818808</v>
      </c>
      <c r="AH6" s="46">
        <f t="shared" si="9"/>
        <v>774.92748029455186</v>
      </c>
      <c r="AI6" s="46">
        <f t="shared" si="10"/>
        <v>790.42602990044293</v>
      </c>
      <c r="AJ6" s="46">
        <f t="shared" si="11"/>
        <v>806.23455049845177</v>
      </c>
      <c r="AK6" s="46">
        <f t="shared" si="12"/>
        <v>822.35924150842084</v>
      </c>
      <c r="AL6" s="46">
        <f t="shared" si="13"/>
        <v>838.80642633858929</v>
      </c>
      <c r="AM6" s="46">
        <f t="shared" si="14"/>
        <v>855.58255486536109</v>
      </c>
      <c r="AN6" s="46">
        <f t="shared" si="15"/>
        <v>872.69420596266832</v>
      </c>
      <c r="AO6" s="46">
        <f t="shared" si="16"/>
        <v>890.14809008192174</v>
      </c>
      <c r="AP6" s="46">
        <f t="shared" si="17"/>
        <v>907.95105188356013</v>
      </c>
      <c r="AQ6" s="46">
        <f t="shared" si="18"/>
        <v>926.11007292123134</v>
      </c>
      <c r="AR6" s="46">
        <f t="shared" si="19"/>
        <v>944.632274379656</v>
      </c>
      <c r="AS6" s="46">
        <f t="shared" si="20"/>
        <v>963.52491986724908</v>
      </c>
      <c r="AT6" s="46">
        <f t="shared" si="21"/>
        <v>982.7954182645941</v>
      </c>
      <c r="AU6" s="47">
        <f t="shared" si="22"/>
        <v>1002.451326629886</v>
      </c>
      <c r="AV6" s="47">
        <f t="shared" si="23"/>
        <v>1022.5003531624837</v>
      </c>
      <c r="AW6" s="47">
        <f t="shared" si="24"/>
        <v>1042.9503602257334</v>
      </c>
      <c r="AX6" s="47">
        <f t="shared" si="25"/>
        <v>1063.8093674302481</v>
      </c>
      <c r="AY6" s="47">
        <f t="shared" si="26"/>
        <v>1085.0855547788531</v>
      </c>
      <c r="AZ6" s="47">
        <f t="shared" si="27"/>
        <v>1106.7872658744302</v>
      </c>
      <c r="BA6" s="47">
        <f t="shared" si="28"/>
        <v>1128.9230111919187</v>
      </c>
      <c r="BB6" s="47">
        <f t="shared" si="29"/>
        <v>1151.5014714157571</v>
      </c>
      <c r="BC6" s="47">
        <f t="shared" si="30"/>
        <v>1174.5315008440723</v>
      </c>
      <c r="BD6" s="90">
        <f t="shared" si="31"/>
        <v>1198.0221308609537</v>
      </c>
      <c r="BE6" s="90">
        <f t="shared" si="32"/>
        <v>1221.9825734781728</v>
      </c>
      <c r="BF6" s="90">
        <f t="shared" si="33"/>
        <v>1246.4222249477361</v>
      </c>
      <c r="BG6" s="90">
        <f t="shared" si="34"/>
        <v>1271.350669446691</v>
      </c>
      <c r="BH6" s="90">
        <f t="shared" si="35"/>
        <v>1296.7776828356248</v>
      </c>
    </row>
    <row r="7" spans="1:65" x14ac:dyDescent="0.25">
      <c r="A7" s="44">
        <f>'2015 Pension Calculation'!E23</f>
        <v>28422.10349999999</v>
      </c>
      <c r="B7" s="45">
        <v>4</v>
      </c>
      <c r="C7" s="48"/>
      <c r="D7" s="48"/>
      <c r="E7" s="48"/>
      <c r="F7" s="46">
        <f>$A7*Variables!$C$2</f>
        <v>438.5530570049998</v>
      </c>
      <c r="G7" s="46">
        <f t="shared" ref="G7:Y7" si="38">(F7*$A$1)+F7</f>
        <v>447.32411814509982</v>
      </c>
      <c r="H7" s="46">
        <f t="shared" si="38"/>
        <v>456.27060050800179</v>
      </c>
      <c r="I7" s="46">
        <f t="shared" si="38"/>
        <v>465.39601251816185</v>
      </c>
      <c r="J7" s="46">
        <f t="shared" si="38"/>
        <v>474.70393276852508</v>
      </c>
      <c r="K7" s="46">
        <f t="shared" si="38"/>
        <v>484.19801142389559</v>
      </c>
      <c r="L7" s="46">
        <f t="shared" si="38"/>
        <v>493.88197165237352</v>
      </c>
      <c r="M7" s="46">
        <f t="shared" si="38"/>
        <v>503.759611085421</v>
      </c>
      <c r="N7" s="46">
        <f t="shared" si="38"/>
        <v>513.83480330712939</v>
      </c>
      <c r="O7" s="46">
        <f t="shared" si="38"/>
        <v>524.11149937327195</v>
      </c>
      <c r="P7" s="46">
        <f t="shared" si="38"/>
        <v>534.59372936073737</v>
      </c>
      <c r="Q7" s="46">
        <f t="shared" si="38"/>
        <v>545.28560394795215</v>
      </c>
      <c r="R7" s="46">
        <f t="shared" si="38"/>
        <v>556.19131602691118</v>
      </c>
      <c r="S7" s="46">
        <f t="shared" si="38"/>
        <v>567.31514234744941</v>
      </c>
      <c r="T7" s="46">
        <f t="shared" si="38"/>
        <v>578.66144519439842</v>
      </c>
      <c r="U7" s="46">
        <f t="shared" si="38"/>
        <v>590.2346740982864</v>
      </c>
      <c r="V7" s="46">
        <f t="shared" si="38"/>
        <v>602.03936758025213</v>
      </c>
      <c r="W7" s="46">
        <f t="shared" si="38"/>
        <v>614.08015493185712</v>
      </c>
      <c r="X7" s="46">
        <f t="shared" si="38"/>
        <v>626.36175803049423</v>
      </c>
      <c r="Y7" s="46">
        <f t="shared" si="38"/>
        <v>638.88899319110408</v>
      </c>
      <c r="Z7" s="46">
        <f t="shared" si="1"/>
        <v>651.66677305492613</v>
      </c>
      <c r="AA7" s="46">
        <f t="shared" si="2"/>
        <v>664.70010851602467</v>
      </c>
      <c r="AB7" s="46">
        <f t="shared" si="3"/>
        <v>677.99411068634515</v>
      </c>
      <c r="AC7" s="46">
        <f t="shared" si="4"/>
        <v>691.5539929000721</v>
      </c>
      <c r="AD7" s="46">
        <f t="shared" si="5"/>
        <v>705.38507275807353</v>
      </c>
      <c r="AE7" s="46">
        <f t="shared" si="6"/>
        <v>719.49277421323495</v>
      </c>
      <c r="AF7" s="46">
        <f t="shared" si="7"/>
        <v>733.88262969749962</v>
      </c>
      <c r="AG7" s="46">
        <f t="shared" si="8"/>
        <v>748.56028229144965</v>
      </c>
      <c r="AH7" s="46">
        <f t="shared" si="9"/>
        <v>763.5314879372786</v>
      </c>
      <c r="AI7" s="46">
        <f t="shared" si="10"/>
        <v>778.8021176960242</v>
      </c>
      <c r="AJ7" s="46">
        <f t="shared" si="11"/>
        <v>794.37816004994465</v>
      </c>
      <c r="AK7" s="46">
        <f t="shared" si="12"/>
        <v>810.26572325094355</v>
      </c>
      <c r="AL7" s="46">
        <f t="shared" si="13"/>
        <v>826.47103771596244</v>
      </c>
      <c r="AM7" s="46">
        <f t="shared" si="14"/>
        <v>843.00045847028173</v>
      </c>
      <c r="AN7" s="46">
        <f t="shared" si="15"/>
        <v>859.86046763968739</v>
      </c>
      <c r="AO7" s="46">
        <f t="shared" si="16"/>
        <v>877.05767699248111</v>
      </c>
      <c r="AP7" s="46">
        <f t="shared" si="17"/>
        <v>894.59883053233068</v>
      </c>
      <c r="AQ7" s="46">
        <f t="shared" si="18"/>
        <v>912.49080714297725</v>
      </c>
      <c r="AR7" s="46">
        <f t="shared" si="19"/>
        <v>930.74062328583682</v>
      </c>
      <c r="AS7" s="46">
        <f t="shared" si="20"/>
        <v>949.3554357515535</v>
      </c>
      <c r="AT7" s="46">
        <f t="shared" si="21"/>
        <v>968.34254446658451</v>
      </c>
      <c r="AU7" s="47">
        <f t="shared" si="22"/>
        <v>987.70939535591617</v>
      </c>
      <c r="AV7" s="47">
        <f t="shared" si="23"/>
        <v>1007.4635832630345</v>
      </c>
      <c r="AW7" s="47">
        <f t="shared" si="24"/>
        <v>1027.6128549282951</v>
      </c>
      <c r="AX7" s="47">
        <f t="shared" si="25"/>
        <v>1048.1651120268609</v>
      </c>
      <c r="AY7" s="47">
        <f t="shared" si="26"/>
        <v>1069.1284142673981</v>
      </c>
      <c r="AZ7" s="47">
        <f t="shared" si="27"/>
        <v>1090.5109825527461</v>
      </c>
      <c r="BA7" s="47">
        <f t="shared" si="28"/>
        <v>1112.321202203801</v>
      </c>
      <c r="BB7" s="47">
        <f t="shared" si="29"/>
        <v>1134.5676262478771</v>
      </c>
      <c r="BC7" s="47">
        <f t="shared" si="30"/>
        <v>1157.2589787728346</v>
      </c>
      <c r="BD7" s="90">
        <f t="shared" si="31"/>
        <v>1180.4041583482913</v>
      </c>
      <c r="BE7" s="90">
        <f t="shared" si="32"/>
        <v>1204.0122415152571</v>
      </c>
      <c r="BF7" s="90">
        <f t="shared" si="33"/>
        <v>1228.0924863455623</v>
      </c>
      <c r="BG7" s="90">
        <f t="shared" si="34"/>
        <v>1252.6543360724736</v>
      </c>
      <c r="BH7" s="90">
        <f t="shared" si="35"/>
        <v>1277.7074227939231</v>
      </c>
    </row>
    <row r="8" spans="1:65" x14ac:dyDescent="0.25">
      <c r="A8" s="44">
        <f>'2015 Pension Calculation'!E24</f>
        <v>28564.214017499988</v>
      </c>
      <c r="B8" s="45">
        <v>5</v>
      </c>
      <c r="C8" s="48"/>
      <c r="D8" s="48"/>
      <c r="E8" s="48"/>
      <c r="F8" s="48"/>
      <c r="G8" s="46">
        <f>$A8*Variables!$C$2</f>
        <v>440.74582229002476</v>
      </c>
      <c r="H8" s="46">
        <f t="shared" ref="H8:Y8" si="39">(G8*$A$1)+G8</f>
        <v>449.56073873582528</v>
      </c>
      <c r="I8" s="46">
        <f t="shared" si="39"/>
        <v>458.55195351054181</v>
      </c>
      <c r="J8" s="46">
        <f t="shared" si="39"/>
        <v>467.72299258075265</v>
      </c>
      <c r="K8" s="46">
        <f t="shared" si="39"/>
        <v>477.07745243236769</v>
      </c>
      <c r="L8" s="46">
        <f t="shared" si="39"/>
        <v>486.61900148101506</v>
      </c>
      <c r="M8" s="46">
        <f t="shared" si="39"/>
        <v>496.35138151063535</v>
      </c>
      <c r="N8" s="46">
        <f t="shared" si="39"/>
        <v>506.27840914084805</v>
      </c>
      <c r="O8" s="46">
        <f t="shared" si="39"/>
        <v>516.403977323665</v>
      </c>
      <c r="P8" s="46">
        <f t="shared" si="39"/>
        <v>526.73205687013831</v>
      </c>
      <c r="Q8" s="46">
        <f t="shared" si="39"/>
        <v>537.26669800754109</v>
      </c>
      <c r="R8" s="46">
        <f t="shared" si="39"/>
        <v>548.01203196769188</v>
      </c>
      <c r="S8" s="46">
        <f t="shared" si="39"/>
        <v>558.97227260704574</v>
      </c>
      <c r="T8" s="46">
        <f t="shared" si="39"/>
        <v>570.15171805918669</v>
      </c>
      <c r="U8" s="46">
        <f t="shared" si="39"/>
        <v>581.55475242037039</v>
      </c>
      <c r="V8" s="46">
        <f t="shared" si="39"/>
        <v>593.18584746877775</v>
      </c>
      <c r="W8" s="46">
        <f t="shared" si="39"/>
        <v>605.0495644181533</v>
      </c>
      <c r="X8" s="46">
        <f t="shared" si="39"/>
        <v>617.15055570651634</v>
      </c>
      <c r="Y8" s="46">
        <f t="shared" si="39"/>
        <v>629.49356682064672</v>
      </c>
      <c r="Z8" s="46">
        <f t="shared" si="1"/>
        <v>642.08343815705962</v>
      </c>
      <c r="AA8" s="46">
        <f t="shared" si="2"/>
        <v>654.92510692020085</v>
      </c>
      <c r="AB8" s="46">
        <f t="shared" si="3"/>
        <v>668.02360905860485</v>
      </c>
      <c r="AC8" s="46">
        <f t="shared" si="4"/>
        <v>681.38408123977695</v>
      </c>
      <c r="AD8" s="46">
        <f t="shared" si="5"/>
        <v>695.01176286457246</v>
      </c>
      <c r="AE8" s="46">
        <f t="shared" si="6"/>
        <v>708.91199812186392</v>
      </c>
      <c r="AF8" s="46">
        <f t="shared" si="7"/>
        <v>723.09023808430118</v>
      </c>
      <c r="AG8" s="46">
        <f t="shared" si="8"/>
        <v>737.55204284598722</v>
      </c>
      <c r="AH8" s="46">
        <f t="shared" si="9"/>
        <v>752.30308370290697</v>
      </c>
      <c r="AI8" s="46">
        <f t="shared" si="10"/>
        <v>767.34914537696511</v>
      </c>
      <c r="AJ8" s="46">
        <f t="shared" si="11"/>
        <v>782.69612828450443</v>
      </c>
      <c r="AK8" s="46">
        <f t="shared" si="12"/>
        <v>798.35005085019452</v>
      </c>
      <c r="AL8" s="46">
        <f t="shared" si="13"/>
        <v>814.31705186719842</v>
      </c>
      <c r="AM8" s="46">
        <f t="shared" si="14"/>
        <v>830.60339290454237</v>
      </c>
      <c r="AN8" s="46">
        <f t="shared" si="15"/>
        <v>847.21546076263326</v>
      </c>
      <c r="AO8" s="46">
        <f t="shared" si="16"/>
        <v>864.15976997788596</v>
      </c>
      <c r="AP8" s="46">
        <f t="shared" si="17"/>
        <v>881.44296537744367</v>
      </c>
      <c r="AQ8" s="46">
        <f t="shared" si="18"/>
        <v>899.07182468499252</v>
      </c>
      <c r="AR8" s="46">
        <f t="shared" si="19"/>
        <v>917.05326117869242</v>
      </c>
      <c r="AS8" s="46">
        <f t="shared" si="20"/>
        <v>935.3943264022663</v>
      </c>
      <c r="AT8" s="46">
        <f t="shared" si="21"/>
        <v>954.10221293031168</v>
      </c>
      <c r="AU8" s="47">
        <f t="shared" si="22"/>
        <v>973.18425718891797</v>
      </c>
      <c r="AV8" s="47">
        <f t="shared" si="23"/>
        <v>992.64794233269629</v>
      </c>
      <c r="AW8" s="47">
        <f t="shared" si="24"/>
        <v>1012.5009011793502</v>
      </c>
      <c r="AX8" s="47">
        <f t="shared" si="25"/>
        <v>1032.7509192029372</v>
      </c>
      <c r="AY8" s="47">
        <f t="shared" si="26"/>
        <v>1053.4059375869961</v>
      </c>
      <c r="AZ8" s="47">
        <f t="shared" si="27"/>
        <v>1074.4740563387361</v>
      </c>
      <c r="BA8" s="47">
        <f t="shared" si="28"/>
        <v>1095.9635374655109</v>
      </c>
      <c r="BB8" s="47">
        <f t="shared" si="29"/>
        <v>1117.8828082148211</v>
      </c>
      <c r="BC8" s="47">
        <f t="shared" si="30"/>
        <v>1140.2404643791176</v>
      </c>
      <c r="BD8" s="90">
        <f t="shared" si="31"/>
        <v>1163.0452736667</v>
      </c>
      <c r="BE8" s="90">
        <f t="shared" si="32"/>
        <v>1186.3061791400341</v>
      </c>
      <c r="BF8" s="90">
        <f t="shared" si="33"/>
        <v>1210.0323027228349</v>
      </c>
      <c r="BG8" s="90">
        <f t="shared" si="34"/>
        <v>1234.2329487772915</v>
      </c>
      <c r="BH8" s="90">
        <f t="shared" si="35"/>
        <v>1258.9176077528373</v>
      </c>
    </row>
    <row r="9" spans="1:65" x14ac:dyDescent="0.25">
      <c r="A9" s="44">
        <f>'2015 Pension Calculation'!E25</f>
        <v>28707.035087587483</v>
      </c>
      <c r="B9" s="45">
        <v>6</v>
      </c>
      <c r="C9" s="48"/>
      <c r="D9" s="48"/>
      <c r="E9" s="48"/>
      <c r="F9" s="48"/>
      <c r="G9" s="48"/>
      <c r="H9" s="46">
        <f>$A9*Variables!$C$2</f>
        <v>442.94955140147482</v>
      </c>
      <c r="I9" s="46">
        <f t="shared" ref="I9:Y9" si="40">(H9*$A$1)+H9</f>
        <v>451.80854242950431</v>
      </c>
      <c r="J9" s="46">
        <f t="shared" si="40"/>
        <v>460.84471327809439</v>
      </c>
      <c r="K9" s="46">
        <f t="shared" si="40"/>
        <v>470.06160754365629</v>
      </c>
      <c r="L9" s="46">
        <f t="shared" si="40"/>
        <v>479.46283969452941</v>
      </c>
      <c r="M9" s="46">
        <f t="shared" si="40"/>
        <v>489.05209648841998</v>
      </c>
      <c r="N9" s="46">
        <f t="shared" si="40"/>
        <v>498.83313841818835</v>
      </c>
      <c r="O9" s="46">
        <f t="shared" si="40"/>
        <v>508.80980118655214</v>
      </c>
      <c r="P9" s="46">
        <f t="shared" si="40"/>
        <v>518.98599721028313</v>
      </c>
      <c r="Q9" s="46">
        <f t="shared" si="40"/>
        <v>529.36571715448883</v>
      </c>
      <c r="R9" s="46">
        <f t="shared" si="40"/>
        <v>539.95303149757865</v>
      </c>
      <c r="S9" s="46">
        <f t="shared" si="40"/>
        <v>550.7520921275302</v>
      </c>
      <c r="T9" s="46">
        <f t="shared" si="40"/>
        <v>561.76713397008086</v>
      </c>
      <c r="U9" s="46">
        <f t="shared" si="40"/>
        <v>573.00247664948245</v>
      </c>
      <c r="V9" s="46">
        <f t="shared" si="40"/>
        <v>584.46252618247206</v>
      </c>
      <c r="W9" s="46">
        <f t="shared" si="40"/>
        <v>596.1517767061215</v>
      </c>
      <c r="X9" s="46">
        <f t="shared" si="40"/>
        <v>608.07481224024389</v>
      </c>
      <c r="Y9" s="46">
        <f t="shared" si="40"/>
        <v>620.23630848504877</v>
      </c>
      <c r="Z9" s="46">
        <f t="shared" si="1"/>
        <v>632.64103465474977</v>
      </c>
      <c r="AA9" s="46">
        <f t="shared" si="2"/>
        <v>645.29385534784478</v>
      </c>
      <c r="AB9" s="46">
        <f t="shared" si="3"/>
        <v>658.19973245480173</v>
      </c>
      <c r="AC9" s="46">
        <f t="shared" si="4"/>
        <v>671.36372710389776</v>
      </c>
      <c r="AD9" s="46">
        <f t="shared" si="5"/>
        <v>684.79100164597571</v>
      </c>
      <c r="AE9" s="46">
        <f t="shared" si="6"/>
        <v>698.48682167889524</v>
      </c>
      <c r="AF9" s="46">
        <f t="shared" si="7"/>
        <v>712.45655811247309</v>
      </c>
      <c r="AG9" s="46">
        <f t="shared" si="8"/>
        <v>726.70568927472254</v>
      </c>
      <c r="AH9" s="46">
        <f t="shared" si="9"/>
        <v>741.23980306021701</v>
      </c>
      <c r="AI9" s="46">
        <f t="shared" si="10"/>
        <v>756.06459912142134</v>
      </c>
      <c r="AJ9" s="46">
        <f t="shared" si="11"/>
        <v>771.18589110384971</v>
      </c>
      <c r="AK9" s="46">
        <f t="shared" si="12"/>
        <v>786.60960892592675</v>
      </c>
      <c r="AL9" s="46">
        <f t="shared" si="13"/>
        <v>802.34180110444527</v>
      </c>
      <c r="AM9" s="46">
        <f t="shared" si="14"/>
        <v>818.38863712653415</v>
      </c>
      <c r="AN9" s="46">
        <f t="shared" si="15"/>
        <v>834.75640986906478</v>
      </c>
      <c r="AO9" s="46">
        <f t="shared" si="16"/>
        <v>851.45153806644612</v>
      </c>
      <c r="AP9" s="46">
        <f t="shared" si="17"/>
        <v>868.48056882777507</v>
      </c>
      <c r="AQ9" s="46">
        <f t="shared" si="18"/>
        <v>885.85018020433063</v>
      </c>
      <c r="AR9" s="46">
        <f t="shared" si="19"/>
        <v>903.56718380841721</v>
      </c>
      <c r="AS9" s="46">
        <f t="shared" si="20"/>
        <v>921.63852748458555</v>
      </c>
      <c r="AT9" s="46">
        <f t="shared" si="21"/>
        <v>940.07129803427722</v>
      </c>
      <c r="AU9" s="47">
        <f t="shared" si="22"/>
        <v>958.87272399496271</v>
      </c>
      <c r="AV9" s="47">
        <f t="shared" si="23"/>
        <v>978.05017847486192</v>
      </c>
      <c r="AW9" s="47">
        <f t="shared" si="24"/>
        <v>997.61118204435911</v>
      </c>
      <c r="AX9" s="47">
        <f t="shared" si="25"/>
        <v>1017.5634056852463</v>
      </c>
      <c r="AY9" s="47">
        <f t="shared" si="26"/>
        <v>1037.9146737989513</v>
      </c>
      <c r="AZ9" s="47">
        <f t="shared" si="27"/>
        <v>1058.6729672749302</v>
      </c>
      <c r="BA9" s="47">
        <f t="shared" si="28"/>
        <v>1079.8464266204289</v>
      </c>
      <c r="BB9" s="47">
        <f t="shared" si="29"/>
        <v>1101.4433551528375</v>
      </c>
      <c r="BC9" s="47">
        <f t="shared" si="30"/>
        <v>1123.4722222558942</v>
      </c>
      <c r="BD9" s="90">
        <f t="shared" si="31"/>
        <v>1145.9416667010121</v>
      </c>
      <c r="BE9" s="90">
        <f t="shared" si="32"/>
        <v>1168.8605000350324</v>
      </c>
      <c r="BF9" s="90">
        <f t="shared" si="33"/>
        <v>1192.237710035733</v>
      </c>
      <c r="BG9" s="90">
        <f t="shared" si="34"/>
        <v>1216.0824642364478</v>
      </c>
      <c r="BH9" s="90">
        <f t="shared" si="35"/>
        <v>1240.4041135211767</v>
      </c>
    </row>
    <row r="10" spans="1:65" x14ac:dyDescent="0.25">
      <c r="A10" s="44">
        <f>'2015 Pension Calculation'!E26</f>
        <v>28850.570263025416</v>
      </c>
      <c r="B10" s="45">
        <v>7</v>
      </c>
      <c r="C10" s="48"/>
      <c r="D10" s="48"/>
      <c r="E10" s="48"/>
      <c r="F10" s="48"/>
      <c r="G10" s="48"/>
      <c r="H10" s="48"/>
      <c r="I10" s="46">
        <f>$A10*Variables!$C$2</f>
        <v>445.16429915848215</v>
      </c>
      <c r="J10" s="46">
        <f t="shared" ref="J10:Y10" si="41">(I10*$A$1)+I10</f>
        <v>454.06758514165182</v>
      </c>
      <c r="K10" s="46">
        <f t="shared" si="41"/>
        <v>463.14893684448487</v>
      </c>
      <c r="L10" s="46">
        <f t="shared" si="41"/>
        <v>472.41191558137456</v>
      </c>
      <c r="M10" s="46">
        <f t="shared" si="41"/>
        <v>481.86015389300206</v>
      </c>
      <c r="N10" s="46">
        <f t="shared" si="41"/>
        <v>491.49735697086209</v>
      </c>
      <c r="O10" s="46">
        <f t="shared" si="41"/>
        <v>501.32730411027933</v>
      </c>
      <c r="P10" s="46">
        <f t="shared" si="41"/>
        <v>511.35385019248491</v>
      </c>
      <c r="Q10" s="46">
        <f t="shared" si="41"/>
        <v>521.58092719633464</v>
      </c>
      <c r="R10" s="46">
        <f t="shared" si="41"/>
        <v>532.01254574026132</v>
      </c>
      <c r="S10" s="46">
        <f t="shared" si="41"/>
        <v>542.6527966550666</v>
      </c>
      <c r="T10" s="46">
        <f t="shared" si="41"/>
        <v>553.50585258816795</v>
      </c>
      <c r="U10" s="46">
        <f t="shared" si="41"/>
        <v>564.57596963993126</v>
      </c>
      <c r="V10" s="46">
        <f t="shared" si="41"/>
        <v>575.86748903272985</v>
      </c>
      <c r="W10" s="46">
        <f t="shared" si="41"/>
        <v>587.38483881338448</v>
      </c>
      <c r="X10" s="46">
        <f t="shared" si="41"/>
        <v>599.13253558965221</v>
      </c>
      <c r="Y10" s="46">
        <f t="shared" si="41"/>
        <v>611.11518630144531</v>
      </c>
      <c r="Z10" s="46">
        <f t="shared" si="1"/>
        <v>623.33749002747425</v>
      </c>
      <c r="AA10" s="46">
        <f t="shared" si="2"/>
        <v>635.8042398280237</v>
      </c>
      <c r="AB10" s="46">
        <f t="shared" si="3"/>
        <v>648.52032462458419</v>
      </c>
      <c r="AC10" s="46">
        <f t="shared" si="4"/>
        <v>661.49073111707582</v>
      </c>
      <c r="AD10" s="46">
        <f t="shared" si="5"/>
        <v>674.72054573941739</v>
      </c>
      <c r="AE10" s="46">
        <f t="shared" si="6"/>
        <v>688.21495665420571</v>
      </c>
      <c r="AF10" s="46">
        <f t="shared" si="7"/>
        <v>701.97925578728984</v>
      </c>
      <c r="AG10" s="46">
        <f t="shared" si="8"/>
        <v>716.01884090303565</v>
      </c>
      <c r="AH10" s="46">
        <f t="shared" si="9"/>
        <v>730.33921772109636</v>
      </c>
      <c r="AI10" s="46">
        <f t="shared" si="10"/>
        <v>744.94600207551832</v>
      </c>
      <c r="AJ10" s="46">
        <f t="shared" si="11"/>
        <v>759.84492211702866</v>
      </c>
      <c r="AK10" s="46">
        <f t="shared" si="12"/>
        <v>775.04182055936928</v>
      </c>
      <c r="AL10" s="46">
        <f t="shared" si="13"/>
        <v>790.54265697055666</v>
      </c>
      <c r="AM10" s="46">
        <f t="shared" si="14"/>
        <v>806.35351010996783</v>
      </c>
      <c r="AN10" s="46">
        <f t="shared" si="15"/>
        <v>822.48058031216715</v>
      </c>
      <c r="AO10" s="46">
        <f t="shared" si="16"/>
        <v>838.93019191841051</v>
      </c>
      <c r="AP10" s="46">
        <f t="shared" si="17"/>
        <v>855.70879575677873</v>
      </c>
      <c r="AQ10" s="46">
        <f t="shared" si="18"/>
        <v>872.82297167191427</v>
      </c>
      <c r="AR10" s="46">
        <f t="shared" si="19"/>
        <v>890.27943110535261</v>
      </c>
      <c r="AS10" s="46">
        <f t="shared" si="20"/>
        <v>908.08501972745967</v>
      </c>
      <c r="AT10" s="46">
        <f t="shared" si="21"/>
        <v>926.24672012200881</v>
      </c>
      <c r="AU10" s="47">
        <f t="shared" si="22"/>
        <v>944.77165452444899</v>
      </c>
      <c r="AV10" s="47">
        <f t="shared" si="23"/>
        <v>963.66708761493794</v>
      </c>
      <c r="AW10" s="47">
        <f t="shared" si="24"/>
        <v>982.94042936723667</v>
      </c>
      <c r="AX10" s="47">
        <f t="shared" si="25"/>
        <v>1002.5992379545814</v>
      </c>
      <c r="AY10" s="47">
        <f t="shared" si="26"/>
        <v>1022.6512227136731</v>
      </c>
      <c r="AZ10" s="47">
        <f t="shared" si="27"/>
        <v>1043.1042471679466</v>
      </c>
      <c r="BA10" s="47">
        <f t="shared" si="28"/>
        <v>1063.9663321113055</v>
      </c>
      <c r="BB10" s="47">
        <f t="shared" si="29"/>
        <v>1085.2456587535316</v>
      </c>
      <c r="BC10" s="47">
        <f t="shared" si="30"/>
        <v>1106.9505719286024</v>
      </c>
      <c r="BD10" s="90">
        <f t="shared" si="31"/>
        <v>1129.0895833671743</v>
      </c>
      <c r="BE10" s="90">
        <f t="shared" si="32"/>
        <v>1151.6713750345177</v>
      </c>
      <c r="BF10" s="90">
        <f t="shared" si="33"/>
        <v>1174.704802535208</v>
      </c>
      <c r="BG10" s="90">
        <f t="shared" si="34"/>
        <v>1198.1988985859123</v>
      </c>
      <c r="BH10" s="90">
        <f t="shared" si="35"/>
        <v>1222.1628765576306</v>
      </c>
    </row>
    <row r="11" spans="1:65" x14ac:dyDescent="0.25">
      <c r="A11" s="44">
        <f>'2015 Pension Calculation'!E27</f>
        <v>28994.823114340539</v>
      </c>
      <c r="B11" s="45">
        <v>8</v>
      </c>
      <c r="C11" s="48"/>
      <c r="D11" s="48"/>
      <c r="E11" s="48"/>
      <c r="F11" s="48"/>
      <c r="G11" s="48"/>
      <c r="H11" s="48"/>
      <c r="I11" s="48"/>
      <c r="J11" s="46">
        <f>$A11*Variables!$C$2</f>
        <v>447.39012065427448</v>
      </c>
      <c r="K11" s="46">
        <f t="shared" ref="K11:Y11" si="42">(J11*$A$1)+J11</f>
        <v>456.33792306735995</v>
      </c>
      <c r="L11" s="46">
        <f t="shared" si="42"/>
        <v>465.46468152870716</v>
      </c>
      <c r="M11" s="46">
        <f t="shared" si="42"/>
        <v>474.77397515928129</v>
      </c>
      <c r="N11" s="46">
        <f t="shared" si="42"/>
        <v>484.2694546624669</v>
      </c>
      <c r="O11" s="46">
        <f t="shared" si="42"/>
        <v>493.95484375571624</v>
      </c>
      <c r="P11" s="46">
        <f t="shared" si="42"/>
        <v>503.83394063083057</v>
      </c>
      <c r="Q11" s="46">
        <f t="shared" si="42"/>
        <v>513.91061944344722</v>
      </c>
      <c r="R11" s="46">
        <f t="shared" si="42"/>
        <v>524.18883183231617</v>
      </c>
      <c r="S11" s="46">
        <f t="shared" si="42"/>
        <v>534.67260846896249</v>
      </c>
      <c r="T11" s="46">
        <f t="shared" si="42"/>
        <v>545.36606063834176</v>
      </c>
      <c r="U11" s="46">
        <f t="shared" si="42"/>
        <v>556.27338185110864</v>
      </c>
      <c r="V11" s="46">
        <f t="shared" si="42"/>
        <v>567.39884948813085</v>
      </c>
      <c r="W11" s="46">
        <f t="shared" si="42"/>
        <v>578.74682647789348</v>
      </c>
      <c r="X11" s="46">
        <f t="shared" si="42"/>
        <v>590.3217630074513</v>
      </c>
      <c r="Y11" s="46">
        <f t="shared" si="42"/>
        <v>602.12819826760028</v>
      </c>
      <c r="Z11" s="46">
        <f t="shared" si="1"/>
        <v>614.17076223295226</v>
      </c>
      <c r="AA11" s="46">
        <f t="shared" si="2"/>
        <v>626.45417747761132</v>
      </c>
      <c r="AB11" s="46">
        <f t="shared" si="3"/>
        <v>638.98326102716351</v>
      </c>
      <c r="AC11" s="46">
        <f t="shared" si="4"/>
        <v>651.76292624770679</v>
      </c>
      <c r="AD11" s="46">
        <f t="shared" si="5"/>
        <v>664.79818477266087</v>
      </c>
      <c r="AE11" s="46">
        <f t="shared" si="6"/>
        <v>678.0941484681141</v>
      </c>
      <c r="AF11" s="46">
        <f t="shared" si="7"/>
        <v>691.65603143747637</v>
      </c>
      <c r="AG11" s="46">
        <f t="shared" si="8"/>
        <v>705.48915206622587</v>
      </c>
      <c r="AH11" s="46">
        <f t="shared" si="9"/>
        <v>719.59893510755035</v>
      </c>
      <c r="AI11" s="46">
        <f t="shared" si="10"/>
        <v>733.9909138097014</v>
      </c>
      <c r="AJ11" s="46">
        <f t="shared" si="11"/>
        <v>748.67073208589545</v>
      </c>
      <c r="AK11" s="46">
        <f t="shared" si="12"/>
        <v>763.64414672761336</v>
      </c>
      <c r="AL11" s="46">
        <f t="shared" si="13"/>
        <v>778.91702966216565</v>
      </c>
      <c r="AM11" s="46">
        <f t="shared" si="14"/>
        <v>794.49537025540894</v>
      </c>
      <c r="AN11" s="46">
        <f t="shared" si="15"/>
        <v>810.38527766051709</v>
      </c>
      <c r="AO11" s="46">
        <f t="shared" si="16"/>
        <v>826.59298321372739</v>
      </c>
      <c r="AP11" s="46">
        <f t="shared" si="17"/>
        <v>843.12484287800191</v>
      </c>
      <c r="AQ11" s="46">
        <f t="shared" si="18"/>
        <v>859.98733973556193</v>
      </c>
      <c r="AR11" s="46">
        <f t="shared" si="19"/>
        <v>877.18708653027318</v>
      </c>
      <c r="AS11" s="46">
        <f t="shared" si="20"/>
        <v>894.73082826087864</v>
      </c>
      <c r="AT11" s="46">
        <f t="shared" si="21"/>
        <v>912.62544482609621</v>
      </c>
      <c r="AU11" s="47">
        <f t="shared" si="22"/>
        <v>930.87795372261814</v>
      </c>
      <c r="AV11" s="47">
        <f t="shared" si="23"/>
        <v>949.49551279707055</v>
      </c>
      <c r="AW11" s="47">
        <f t="shared" si="24"/>
        <v>968.48542305301191</v>
      </c>
      <c r="AX11" s="47">
        <f t="shared" si="25"/>
        <v>987.85513151407213</v>
      </c>
      <c r="AY11" s="47">
        <f t="shared" si="26"/>
        <v>1007.6122341443536</v>
      </c>
      <c r="AZ11" s="47">
        <f t="shared" si="27"/>
        <v>1027.7644788272407</v>
      </c>
      <c r="BA11" s="47">
        <f t="shared" si="28"/>
        <v>1048.3197684037855</v>
      </c>
      <c r="BB11" s="47">
        <f t="shared" si="29"/>
        <v>1069.2861637718611</v>
      </c>
      <c r="BC11" s="47">
        <f t="shared" si="30"/>
        <v>1090.6718870472982</v>
      </c>
      <c r="BD11" s="90">
        <f t="shared" si="31"/>
        <v>1112.4853247882443</v>
      </c>
      <c r="BE11" s="90">
        <f t="shared" si="32"/>
        <v>1134.7350312840092</v>
      </c>
      <c r="BF11" s="90">
        <f t="shared" si="33"/>
        <v>1157.4297319096895</v>
      </c>
      <c r="BG11" s="90">
        <f t="shared" si="34"/>
        <v>1180.5783265478833</v>
      </c>
      <c r="BH11" s="90">
        <f t="shared" si="35"/>
        <v>1204.1898930788409</v>
      </c>
    </row>
    <row r="12" spans="1:65" x14ac:dyDescent="0.25">
      <c r="A12" s="44">
        <f>'2015 Pension Calculation'!E28</f>
        <v>29139.797229912238</v>
      </c>
      <c r="B12" s="45">
        <v>9</v>
      </c>
      <c r="C12" s="48"/>
      <c r="D12" s="48"/>
      <c r="E12" s="48"/>
      <c r="F12" s="48"/>
      <c r="G12" s="48"/>
      <c r="H12" s="48"/>
      <c r="I12" s="48"/>
      <c r="J12" s="48"/>
      <c r="K12" s="46">
        <f>$A12*Variables!$C$2</f>
        <v>449.62707125754582</v>
      </c>
      <c r="L12" s="46">
        <f t="shared" ref="L12:Y12" si="43">(K12*$A$1)+K12</f>
        <v>458.61961268269675</v>
      </c>
      <c r="M12" s="46">
        <f t="shared" si="43"/>
        <v>467.79200493635068</v>
      </c>
      <c r="N12" s="46">
        <f t="shared" si="43"/>
        <v>477.14784503507769</v>
      </c>
      <c r="O12" s="46">
        <f t="shared" si="43"/>
        <v>486.69080193577923</v>
      </c>
      <c r="P12" s="46">
        <f t="shared" si="43"/>
        <v>496.42461797449482</v>
      </c>
      <c r="Q12" s="46">
        <f t="shared" si="43"/>
        <v>506.35311033398472</v>
      </c>
      <c r="R12" s="46">
        <f t="shared" si="43"/>
        <v>516.4801725406644</v>
      </c>
      <c r="S12" s="46">
        <f t="shared" si="43"/>
        <v>526.80977599147764</v>
      </c>
      <c r="T12" s="46">
        <f t="shared" si="43"/>
        <v>537.3459715113072</v>
      </c>
      <c r="U12" s="46">
        <f t="shared" si="43"/>
        <v>548.09289094153337</v>
      </c>
      <c r="V12" s="46">
        <f t="shared" si="43"/>
        <v>559.05474876036408</v>
      </c>
      <c r="W12" s="46">
        <f t="shared" si="43"/>
        <v>570.23584373557139</v>
      </c>
      <c r="X12" s="46">
        <f t="shared" si="43"/>
        <v>581.64056061028282</v>
      </c>
      <c r="Y12" s="46">
        <f t="shared" si="43"/>
        <v>593.27337182248846</v>
      </c>
      <c r="Z12" s="46">
        <f t="shared" si="1"/>
        <v>605.13883925893822</v>
      </c>
      <c r="AA12" s="46">
        <f t="shared" si="2"/>
        <v>617.24161604411699</v>
      </c>
      <c r="AB12" s="46">
        <f t="shared" si="3"/>
        <v>629.58644836499934</v>
      </c>
      <c r="AC12" s="46">
        <f t="shared" si="4"/>
        <v>642.17817733229936</v>
      </c>
      <c r="AD12" s="46">
        <f t="shared" si="5"/>
        <v>655.02174087894537</v>
      </c>
      <c r="AE12" s="46">
        <f t="shared" si="6"/>
        <v>668.12217569652432</v>
      </c>
      <c r="AF12" s="46">
        <f t="shared" si="7"/>
        <v>681.48461921045487</v>
      </c>
      <c r="AG12" s="46">
        <f t="shared" si="8"/>
        <v>695.11431159466395</v>
      </c>
      <c r="AH12" s="46">
        <f t="shared" si="9"/>
        <v>709.01659782655724</v>
      </c>
      <c r="AI12" s="46">
        <f t="shared" si="10"/>
        <v>723.19692978308842</v>
      </c>
      <c r="AJ12" s="46">
        <f t="shared" si="11"/>
        <v>737.66086837875014</v>
      </c>
      <c r="AK12" s="46">
        <f t="shared" si="12"/>
        <v>752.4140857463251</v>
      </c>
      <c r="AL12" s="46">
        <f t="shared" si="13"/>
        <v>767.46236746125157</v>
      </c>
      <c r="AM12" s="46">
        <f t="shared" si="14"/>
        <v>782.81161481047661</v>
      </c>
      <c r="AN12" s="46">
        <f t="shared" si="15"/>
        <v>798.46784710668612</v>
      </c>
      <c r="AO12" s="46">
        <f t="shared" si="16"/>
        <v>814.43720404881981</v>
      </c>
      <c r="AP12" s="46">
        <f t="shared" si="17"/>
        <v>830.72594812979617</v>
      </c>
      <c r="AQ12" s="46">
        <f t="shared" si="18"/>
        <v>847.34046709239215</v>
      </c>
      <c r="AR12" s="46">
        <f t="shared" si="19"/>
        <v>864.28727643423997</v>
      </c>
      <c r="AS12" s="46">
        <f t="shared" si="20"/>
        <v>881.57302196292471</v>
      </c>
      <c r="AT12" s="46">
        <f t="shared" si="21"/>
        <v>899.2044824021832</v>
      </c>
      <c r="AU12" s="47">
        <f t="shared" si="22"/>
        <v>917.18857205022687</v>
      </c>
      <c r="AV12" s="47">
        <f t="shared" si="23"/>
        <v>935.53234349123136</v>
      </c>
      <c r="AW12" s="47">
        <f t="shared" si="24"/>
        <v>954.24299036105594</v>
      </c>
      <c r="AX12" s="47">
        <f t="shared" si="25"/>
        <v>973.32785016827711</v>
      </c>
      <c r="AY12" s="47">
        <f t="shared" si="26"/>
        <v>992.79440717164266</v>
      </c>
      <c r="AZ12" s="47">
        <f t="shared" si="27"/>
        <v>1012.6502953150755</v>
      </c>
      <c r="BA12" s="47">
        <f t="shared" si="28"/>
        <v>1032.903301221377</v>
      </c>
      <c r="BB12" s="47">
        <f t="shared" si="29"/>
        <v>1053.5613672458046</v>
      </c>
      <c r="BC12" s="47">
        <f t="shared" si="30"/>
        <v>1074.6325945907206</v>
      </c>
      <c r="BD12" s="90">
        <f t="shared" si="31"/>
        <v>1096.125246482535</v>
      </c>
      <c r="BE12" s="90">
        <f t="shared" si="32"/>
        <v>1118.0477514121858</v>
      </c>
      <c r="BF12" s="90">
        <f t="shared" si="33"/>
        <v>1140.4087064404296</v>
      </c>
      <c r="BG12" s="90">
        <f t="shared" si="34"/>
        <v>1163.2168805692381</v>
      </c>
      <c r="BH12" s="90">
        <f t="shared" si="35"/>
        <v>1186.4812181806228</v>
      </c>
    </row>
    <row r="13" spans="1:65" x14ac:dyDescent="0.25">
      <c r="A13" s="44">
        <f>'2015 Pension Calculation'!E29</f>
        <v>29285.496216061794</v>
      </c>
      <c r="B13" s="45">
        <v>10</v>
      </c>
      <c r="C13" s="48"/>
      <c r="D13" s="48"/>
      <c r="E13" s="48"/>
      <c r="F13" s="48"/>
      <c r="G13" s="48"/>
      <c r="H13" s="48"/>
      <c r="I13" s="48"/>
      <c r="J13" s="48"/>
      <c r="K13" s="48"/>
      <c r="L13" s="46">
        <f>$A13*Variables!$C$2</f>
        <v>451.87520661383348</v>
      </c>
      <c r="M13" s="46">
        <f t="shared" ref="M13:Y13" si="44">(L13*$A$1)+L13</f>
        <v>460.91271074611018</v>
      </c>
      <c r="N13" s="46">
        <f t="shared" si="44"/>
        <v>470.13096496103236</v>
      </c>
      <c r="O13" s="46">
        <f t="shared" si="44"/>
        <v>479.53358426025301</v>
      </c>
      <c r="P13" s="46">
        <f t="shared" si="44"/>
        <v>489.12425594545806</v>
      </c>
      <c r="Q13" s="46">
        <f t="shared" si="44"/>
        <v>498.90674106436722</v>
      </c>
      <c r="R13" s="46">
        <f t="shared" si="44"/>
        <v>508.88487588565459</v>
      </c>
      <c r="S13" s="46">
        <f t="shared" si="44"/>
        <v>519.06257340336765</v>
      </c>
      <c r="T13" s="46">
        <f t="shared" si="44"/>
        <v>529.44382487143503</v>
      </c>
      <c r="U13" s="46">
        <f t="shared" si="44"/>
        <v>540.03270136886374</v>
      </c>
      <c r="V13" s="46">
        <f t="shared" si="44"/>
        <v>550.83335539624102</v>
      </c>
      <c r="W13" s="46">
        <f t="shared" si="44"/>
        <v>561.85002250416585</v>
      </c>
      <c r="X13" s="46">
        <f t="shared" si="44"/>
        <v>573.08702295424916</v>
      </c>
      <c r="Y13" s="46">
        <f t="shared" si="44"/>
        <v>584.5487634133342</v>
      </c>
      <c r="Z13" s="46">
        <f t="shared" si="1"/>
        <v>596.2397386816009</v>
      </c>
      <c r="AA13" s="46">
        <f t="shared" si="2"/>
        <v>608.16453345523291</v>
      </c>
      <c r="AB13" s="46">
        <f t="shared" si="3"/>
        <v>620.32782412433755</v>
      </c>
      <c r="AC13" s="46">
        <f t="shared" si="4"/>
        <v>632.73438060682429</v>
      </c>
      <c r="AD13" s="46">
        <f t="shared" si="5"/>
        <v>645.3890682189608</v>
      </c>
      <c r="AE13" s="46">
        <f t="shared" si="6"/>
        <v>658.29684958333996</v>
      </c>
      <c r="AF13" s="46">
        <f t="shared" si="7"/>
        <v>671.46278657500682</v>
      </c>
      <c r="AG13" s="46">
        <f t="shared" si="8"/>
        <v>684.89204230650694</v>
      </c>
      <c r="AH13" s="46">
        <f t="shared" si="9"/>
        <v>698.58988315263707</v>
      </c>
      <c r="AI13" s="46">
        <f t="shared" si="10"/>
        <v>712.56168081568978</v>
      </c>
      <c r="AJ13" s="46">
        <f t="shared" si="11"/>
        <v>726.81291443200359</v>
      </c>
      <c r="AK13" s="46">
        <f t="shared" si="12"/>
        <v>741.34917272064365</v>
      </c>
      <c r="AL13" s="46">
        <f t="shared" si="13"/>
        <v>756.17615617505658</v>
      </c>
      <c r="AM13" s="46">
        <f t="shared" si="14"/>
        <v>771.29967929855775</v>
      </c>
      <c r="AN13" s="46">
        <f t="shared" si="15"/>
        <v>786.72567288452888</v>
      </c>
      <c r="AO13" s="46">
        <f t="shared" si="16"/>
        <v>802.46018634221946</v>
      </c>
      <c r="AP13" s="46">
        <f t="shared" si="17"/>
        <v>818.5093900690639</v>
      </c>
      <c r="AQ13" s="46">
        <f t="shared" si="18"/>
        <v>834.87957787044513</v>
      </c>
      <c r="AR13" s="46">
        <f t="shared" si="19"/>
        <v>851.57716942785407</v>
      </c>
      <c r="AS13" s="46">
        <f t="shared" si="20"/>
        <v>868.60871281641118</v>
      </c>
      <c r="AT13" s="46">
        <f t="shared" si="21"/>
        <v>885.98088707273939</v>
      </c>
      <c r="AU13" s="47">
        <f t="shared" si="22"/>
        <v>903.70050481419423</v>
      </c>
      <c r="AV13" s="47">
        <f t="shared" si="23"/>
        <v>921.77451491047816</v>
      </c>
      <c r="AW13" s="47">
        <f t="shared" si="24"/>
        <v>940.21000520868768</v>
      </c>
      <c r="AX13" s="47">
        <f t="shared" si="25"/>
        <v>959.01420531286146</v>
      </c>
      <c r="AY13" s="47">
        <f t="shared" si="26"/>
        <v>978.19448941911867</v>
      </c>
      <c r="AZ13" s="47">
        <f t="shared" si="27"/>
        <v>997.75837920750109</v>
      </c>
      <c r="BA13" s="47">
        <f t="shared" si="28"/>
        <v>1017.7135467916511</v>
      </c>
      <c r="BB13" s="47">
        <f t="shared" si="29"/>
        <v>1038.067817727484</v>
      </c>
      <c r="BC13" s="47">
        <f t="shared" si="30"/>
        <v>1058.8291740820337</v>
      </c>
      <c r="BD13" s="90">
        <f t="shared" si="31"/>
        <v>1080.0057575636743</v>
      </c>
      <c r="BE13" s="90">
        <f t="shared" si="32"/>
        <v>1101.6058727149477</v>
      </c>
      <c r="BF13" s="90">
        <f t="shared" si="33"/>
        <v>1123.6379901692467</v>
      </c>
      <c r="BG13" s="90">
        <f t="shared" si="34"/>
        <v>1146.1107499726315</v>
      </c>
      <c r="BH13" s="90">
        <f t="shared" si="35"/>
        <v>1169.0329649720841</v>
      </c>
    </row>
    <row r="14" spans="1:65" x14ac:dyDescent="0.25">
      <c r="A14" s="44">
        <f>'2015 Pension Calculation'!E30</f>
        <v>29431.923697142101</v>
      </c>
      <c r="B14" s="45">
        <v>11</v>
      </c>
      <c r="C14" s="48"/>
      <c r="D14" s="48"/>
      <c r="E14" s="48"/>
      <c r="F14" s="48"/>
      <c r="G14" s="48"/>
      <c r="H14" s="48"/>
      <c r="I14" s="48"/>
      <c r="J14" s="48"/>
      <c r="K14" s="48"/>
      <c r="L14" s="48"/>
      <c r="M14" s="46">
        <f>$A14*Variables!$C$2</f>
        <v>454.13458264690263</v>
      </c>
      <c r="N14" s="46">
        <f t="shared" ref="N14:Y14" si="45">(M14*$A$1)+M14</f>
        <v>463.21727429984071</v>
      </c>
      <c r="O14" s="46">
        <f t="shared" si="45"/>
        <v>472.48161978583755</v>
      </c>
      <c r="P14" s="46">
        <f t="shared" si="45"/>
        <v>481.93125218155433</v>
      </c>
      <c r="Q14" s="46">
        <f t="shared" si="45"/>
        <v>491.56987722518539</v>
      </c>
      <c r="R14" s="46">
        <f t="shared" si="45"/>
        <v>501.40127476968911</v>
      </c>
      <c r="S14" s="46">
        <f t="shared" si="45"/>
        <v>511.42930026508287</v>
      </c>
      <c r="T14" s="46">
        <f t="shared" si="45"/>
        <v>521.65788627038455</v>
      </c>
      <c r="U14" s="46">
        <f t="shared" si="45"/>
        <v>532.09104399579223</v>
      </c>
      <c r="V14" s="46">
        <f t="shared" si="45"/>
        <v>542.73286487570806</v>
      </c>
      <c r="W14" s="46">
        <f t="shared" si="45"/>
        <v>553.58752217322217</v>
      </c>
      <c r="X14" s="46">
        <f t="shared" si="45"/>
        <v>564.65927261668662</v>
      </c>
      <c r="Y14" s="46">
        <f t="shared" si="45"/>
        <v>575.95245806902039</v>
      </c>
      <c r="Z14" s="46">
        <f t="shared" si="1"/>
        <v>587.47150723040079</v>
      </c>
      <c r="AA14" s="46">
        <f t="shared" si="2"/>
        <v>599.22093737500882</v>
      </c>
      <c r="AB14" s="46">
        <f t="shared" si="3"/>
        <v>611.20535612250899</v>
      </c>
      <c r="AC14" s="46">
        <f t="shared" si="4"/>
        <v>623.42946324495915</v>
      </c>
      <c r="AD14" s="46">
        <f t="shared" si="5"/>
        <v>635.8980525098583</v>
      </c>
      <c r="AE14" s="46">
        <f t="shared" si="6"/>
        <v>648.61601356005542</v>
      </c>
      <c r="AF14" s="46">
        <f t="shared" si="7"/>
        <v>661.58833383125648</v>
      </c>
      <c r="AG14" s="46">
        <f t="shared" si="8"/>
        <v>674.82010050788165</v>
      </c>
      <c r="AH14" s="46">
        <f t="shared" si="9"/>
        <v>688.31650251803933</v>
      </c>
      <c r="AI14" s="46">
        <f t="shared" si="10"/>
        <v>702.08283256840014</v>
      </c>
      <c r="AJ14" s="46">
        <f t="shared" si="11"/>
        <v>716.12448921976818</v>
      </c>
      <c r="AK14" s="46">
        <f t="shared" si="12"/>
        <v>730.4469790041635</v>
      </c>
      <c r="AL14" s="46">
        <f t="shared" si="13"/>
        <v>745.0559185842468</v>
      </c>
      <c r="AM14" s="46">
        <f t="shared" si="14"/>
        <v>759.9570369559317</v>
      </c>
      <c r="AN14" s="46">
        <f t="shared" si="15"/>
        <v>775.15617769505036</v>
      </c>
      <c r="AO14" s="46">
        <f t="shared" si="16"/>
        <v>790.65930124895135</v>
      </c>
      <c r="AP14" s="46">
        <f t="shared" si="17"/>
        <v>806.47248727393037</v>
      </c>
      <c r="AQ14" s="46">
        <f t="shared" si="18"/>
        <v>822.60193701940898</v>
      </c>
      <c r="AR14" s="46">
        <f t="shared" si="19"/>
        <v>839.05397575979714</v>
      </c>
      <c r="AS14" s="46">
        <f t="shared" si="20"/>
        <v>855.83505527499312</v>
      </c>
      <c r="AT14" s="46">
        <f t="shared" si="21"/>
        <v>872.95175638049295</v>
      </c>
      <c r="AU14" s="47">
        <f t="shared" si="22"/>
        <v>890.41079150810276</v>
      </c>
      <c r="AV14" s="47">
        <f t="shared" si="23"/>
        <v>908.21900733826487</v>
      </c>
      <c r="AW14" s="47">
        <f t="shared" si="24"/>
        <v>926.3833874850302</v>
      </c>
      <c r="AX14" s="47">
        <f t="shared" si="25"/>
        <v>944.91105523473084</v>
      </c>
      <c r="AY14" s="47">
        <f t="shared" si="26"/>
        <v>963.80927633942542</v>
      </c>
      <c r="AZ14" s="47">
        <f t="shared" si="27"/>
        <v>983.0854618662139</v>
      </c>
      <c r="BA14" s="47">
        <f t="shared" si="28"/>
        <v>1002.7471711035382</v>
      </c>
      <c r="BB14" s="47">
        <f t="shared" si="29"/>
        <v>1022.802114525609</v>
      </c>
      <c r="BC14" s="47">
        <f t="shared" si="30"/>
        <v>1043.2581568161211</v>
      </c>
      <c r="BD14" s="90">
        <f t="shared" si="31"/>
        <v>1064.1233199524436</v>
      </c>
      <c r="BE14" s="90">
        <f t="shared" si="32"/>
        <v>1085.4057863514925</v>
      </c>
      <c r="BF14" s="90">
        <f t="shared" si="33"/>
        <v>1107.1139020785222</v>
      </c>
      <c r="BG14" s="90">
        <f t="shared" si="34"/>
        <v>1129.2561801200927</v>
      </c>
      <c r="BH14" s="90">
        <f t="shared" si="35"/>
        <v>1151.8413037224946</v>
      </c>
    </row>
    <row r="15" spans="1:65" x14ac:dyDescent="0.25">
      <c r="A15" s="44">
        <f>'2015 Pension Calculation'!E31</f>
        <v>29579.083315627809</v>
      </c>
      <c r="B15" s="45">
        <v>12</v>
      </c>
      <c r="C15" s="48"/>
      <c r="D15" s="48"/>
      <c r="E15" s="48"/>
      <c r="F15" s="48"/>
      <c r="G15" s="48"/>
      <c r="H15" s="48"/>
      <c r="I15" s="48"/>
      <c r="J15" s="48"/>
      <c r="K15" s="48"/>
      <c r="L15" s="48"/>
      <c r="M15" s="48"/>
      <c r="N15" s="46">
        <f>$A15*Variables!$C$2</f>
        <v>456.40525556013711</v>
      </c>
      <c r="O15" s="46">
        <f t="shared" ref="O15:Y15" si="46">(N15*$A$1)+N15</f>
        <v>465.53336067133984</v>
      </c>
      <c r="P15" s="46">
        <f t="shared" si="46"/>
        <v>474.84402788476666</v>
      </c>
      <c r="Q15" s="46">
        <f t="shared" si="46"/>
        <v>484.34090844246197</v>
      </c>
      <c r="R15" s="46">
        <f t="shared" si="46"/>
        <v>494.02772661131121</v>
      </c>
      <c r="S15" s="46">
        <f t="shared" si="46"/>
        <v>503.90828114353741</v>
      </c>
      <c r="T15" s="46">
        <f t="shared" si="46"/>
        <v>513.98644676640811</v>
      </c>
      <c r="U15" s="46">
        <f t="shared" si="46"/>
        <v>524.2661757017363</v>
      </c>
      <c r="V15" s="46">
        <f t="shared" si="46"/>
        <v>534.75149921577099</v>
      </c>
      <c r="W15" s="46">
        <f t="shared" si="46"/>
        <v>545.44652920008639</v>
      </c>
      <c r="X15" s="46">
        <f t="shared" si="46"/>
        <v>556.35545978408811</v>
      </c>
      <c r="Y15" s="46">
        <f t="shared" si="46"/>
        <v>567.48256897976989</v>
      </c>
      <c r="Z15" s="46">
        <f t="shared" si="1"/>
        <v>578.83222035936524</v>
      </c>
      <c r="AA15" s="46">
        <f t="shared" si="2"/>
        <v>590.4088647665526</v>
      </c>
      <c r="AB15" s="46">
        <f t="shared" si="3"/>
        <v>602.2170420618836</v>
      </c>
      <c r="AC15" s="46">
        <f t="shared" si="4"/>
        <v>614.26138290312133</v>
      </c>
      <c r="AD15" s="46">
        <f t="shared" si="5"/>
        <v>626.5466105611838</v>
      </c>
      <c r="AE15" s="46">
        <f t="shared" si="6"/>
        <v>639.07754277240747</v>
      </c>
      <c r="AF15" s="46">
        <f t="shared" si="7"/>
        <v>651.8590936278556</v>
      </c>
      <c r="AG15" s="46">
        <f t="shared" si="8"/>
        <v>664.89627550041268</v>
      </c>
      <c r="AH15" s="46">
        <f t="shared" si="9"/>
        <v>678.1942010104209</v>
      </c>
      <c r="AI15" s="46">
        <f t="shared" si="10"/>
        <v>691.75808503062933</v>
      </c>
      <c r="AJ15" s="46">
        <f t="shared" si="11"/>
        <v>705.59324673124195</v>
      </c>
      <c r="AK15" s="46">
        <f t="shared" si="12"/>
        <v>719.70511166586675</v>
      </c>
      <c r="AL15" s="46">
        <f t="shared" si="13"/>
        <v>734.09921389918406</v>
      </c>
      <c r="AM15" s="46">
        <f t="shared" si="14"/>
        <v>748.78119817716777</v>
      </c>
      <c r="AN15" s="46">
        <f t="shared" si="15"/>
        <v>763.75682214071117</v>
      </c>
      <c r="AO15" s="46">
        <f t="shared" si="16"/>
        <v>779.03195858352535</v>
      </c>
      <c r="AP15" s="46">
        <f t="shared" si="17"/>
        <v>794.61259775519591</v>
      </c>
      <c r="AQ15" s="46">
        <f t="shared" si="18"/>
        <v>810.50484971029982</v>
      </c>
      <c r="AR15" s="46">
        <f t="shared" si="19"/>
        <v>826.71494670450579</v>
      </c>
      <c r="AS15" s="46">
        <f t="shared" si="20"/>
        <v>843.24924563859588</v>
      </c>
      <c r="AT15" s="46">
        <f t="shared" si="21"/>
        <v>860.11423055136777</v>
      </c>
      <c r="AU15" s="47">
        <f t="shared" si="22"/>
        <v>877.31651516239515</v>
      </c>
      <c r="AV15" s="47">
        <f t="shared" si="23"/>
        <v>894.86284546564309</v>
      </c>
      <c r="AW15" s="47">
        <f t="shared" si="24"/>
        <v>912.76010237495598</v>
      </c>
      <c r="AX15" s="47">
        <f t="shared" si="25"/>
        <v>931.01530442245507</v>
      </c>
      <c r="AY15" s="47">
        <f t="shared" si="26"/>
        <v>949.63561051090414</v>
      </c>
      <c r="AZ15" s="47">
        <f t="shared" si="27"/>
        <v>968.62832272112223</v>
      </c>
      <c r="BA15" s="47">
        <f t="shared" si="28"/>
        <v>988.00088917554467</v>
      </c>
      <c r="BB15" s="47">
        <f t="shared" si="29"/>
        <v>1007.7609069590555</v>
      </c>
      <c r="BC15" s="47">
        <f t="shared" si="30"/>
        <v>1027.9161250982368</v>
      </c>
      <c r="BD15" s="90">
        <f t="shared" si="31"/>
        <v>1048.4744476002015</v>
      </c>
      <c r="BE15" s="90">
        <f t="shared" si="32"/>
        <v>1069.4439365522055</v>
      </c>
      <c r="BF15" s="90">
        <f t="shared" si="33"/>
        <v>1090.8328152832496</v>
      </c>
      <c r="BG15" s="90">
        <f t="shared" si="34"/>
        <v>1112.6494715889146</v>
      </c>
      <c r="BH15" s="90">
        <f t="shared" si="35"/>
        <v>1134.902461020693</v>
      </c>
    </row>
    <row r="16" spans="1:65" x14ac:dyDescent="0.25">
      <c r="A16" s="44">
        <f>'2015 Pension Calculation'!E32</f>
        <v>29726.978732205946</v>
      </c>
      <c r="B16" s="45">
        <v>13</v>
      </c>
      <c r="C16" s="48"/>
      <c r="D16" s="48"/>
      <c r="E16" s="48"/>
      <c r="F16" s="48"/>
      <c r="G16" s="48"/>
      <c r="H16" s="48"/>
      <c r="I16" s="48"/>
      <c r="J16" s="48"/>
      <c r="K16" s="48"/>
      <c r="L16" s="48"/>
      <c r="M16" s="48"/>
      <c r="N16" s="48"/>
      <c r="O16" s="46">
        <f>$A16*Variables!$C$2</f>
        <v>458.68728183793775</v>
      </c>
      <c r="P16" s="46">
        <f t="shared" ref="P16:Y16" si="47">(O16*$A$1)+O16</f>
        <v>467.86102747469653</v>
      </c>
      <c r="Q16" s="46">
        <f t="shared" si="47"/>
        <v>477.21824802419047</v>
      </c>
      <c r="R16" s="46">
        <f t="shared" si="47"/>
        <v>486.76261298467426</v>
      </c>
      <c r="S16" s="46">
        <f t="shared" si="47"/>
        <v>496.49786524436774</v>
      </c>
      <c r="T16" s="46">
        <f t="shared" si="47"/>
        <v>506.4278225492551</v>
      </c>
      <c r="U16" s="46">
        <f t="shared" si="47"/>
        <v>516.55637900024021</v>
      </c>
      <c r="V16" s="46">
        <f t="shared" si="47"/>
        <v>526.88750658024503</v>
      </c>
      <c r="W16" s="46">
        <f t="shared" si="47"/>
        <v>537.4252567118499</v>
      </c>
      <c r="X16" s="46">
        <f t="shared" si="47"/>
        <v>548.1737618460869</v>
      </c>
      <c r="Y16" s="46">
        <f t="shared" si="47"/>
        <v>559.13723708300859</v>
      </c>
      <c r="Z16" s="46">
        <f t="shared" si="1"/>
        <v>570.31998182466873</v>
      </c>
      <c r="AA16" s="46">
        <f t="shared" si="2"/>
        <v>581.72638146116208</v>
      </c>
      <c r="AB16" s="46">
        <f t="shared" si="3"/>
        <v>593.36090909038535</v>
      </c>
      <c r="AC16" s="46">
        <f t="shared" si="4"/>
        <v>605.22812727219309</v>
      </c>
      <c r="AD16" s="46">
        <f t="shared" si="5"/>
        <v>617.33268981763695</v>
      </c>
      <c r="AE16" s="46">
        <f t="shared" si="6"/>
        <v>629.67934361398966</v>
      </c>
      <c r="AF16" s="46">
        <f t="shared" si="7"/>
        <v>642.2729304862695</v>
      </c>
      <c r="AG16" s="46">
        <f t="shared" si="8"/>
        <v>655.11838909599487</v>
      </c>
      <c r="AH16" s="46">
        <f t="shared" si="9"/>
        <v>668.22075687791482</v>
      </c>
      <c r="AI16" s="46">
        <f t="shared" si="10"/>
        <v>681.58517201547306</v>
      </c>
      <c r="AJ16" s="46">
        <f t="shared" si="11"/>
        <v>695.21687545578254</v>
      </c>
      <c r="AK16" s="46">
        <f t="shared" si="12"/>
        <v>709.12121296489818</v>
      </c>
      <c r="AL16" s="46">
        <f t="shared" si="13"/>
        <v>723.30363722419611</v>
      </c>
      <c r="AM16" s="46">
        <f t="shared" si="14"/>
        <v>737.76970996867999</v>
      </c>
      <c r="AN16" s="46">
        <f t="shared" si="15"/>
        <v>752.52510416805364</v>
      </c>
      <c r="AO16" s="46">
        <f t="shared" si="16"/>
        <v>767.57560625141468</v>
      </c>
      <c r="AP16" s="46">
        <f t="shared" si="17"/>
        <v>782.92711837644299</v>
      </c>
      <c r="AQ16" s="46">
        <f t="shared" si="18"/>
        <v>798.58566074397186</v>
      </c>
      <c r="AR16" s="46">
        <f t="shared" si="19"/>
        <v>814.55737395885126</v>
      </c>
      <c r="AS16" s="46">
        <f t="shared" si="20"/>
        <v>830.84852143802823</v>
      </c>
      <c r="AT16" s="46">
        <f t="shared" si="21"/>
        <v>847.46549186678874</v>
      </c>
      <c r="AU16" s="47">
        <f t="shared" si="22"/>
        <v>864.41480170412456</v>
      </c>
      <c r="AV16" s="47">
        <f t="shared" si="23"/>
        <v>881.70309773820702</v>
      </c>
      <c r="AW16" s="47">
        <f t="shared" si="24"/>
        <v>899.33715969297111</v>
      </c>
      <c r="AX16" s="47">
        <f t="shared" si="25"/>
        <v>917.32390288683052</v>
      </c>
      <c r="AY16" s="47">
        <f t="shared" si="26"/>
        <v>935.67038094456711</v>
      </c>
      <c r="AZ16" s="47">
        <f t="shared" si="27"/>
        <v>954.38378856345844</v>
      </c>
      <c r="BA16" s="47">
        <f t="shared" si="28"/>
        <v>973.47146433472756</v>
      </c>
      <c r="BB16" s="47">
        <f t="shared" si="29"/>
        <v>992.94089362142211</v>
      </c>
      <c r="BC16" s="47">
        <f t="shared" si="30"/>
        <v>1012.7997114938505</v>
      </c>
      <c r="BD16" s="90">
        <f t="shared" si="31"/>
        <v>1033.0557057237274</v>
      </c>
      <c r="BE16" s="90">
        <f t="shared" si="32"/>
        <v>1053.7168198382019</v>
      </c>
      <c r="BF16" s="90">
        <f t="shared" si="33"/>
        <v>1074.7911562349659</v>
      </c>
      <c r="BG16" s="90">
        <f t="shared" si="34"/>
        <v>1096.2869793596653</v>
      </c>
      <c r="BH16" s="90">
        <f t="shared" si="35"/>
        <v>1118.2127189468586</v>
      </c>
    </row>
    <row r="17" spans="1:60" x14ac:dyDescent="0.25">
      <c r="A17" s="44">
        <f>'2015 Pension Calculation'!E33</f>
        <v>29875.613625866972</v>
      </c>
      <c r="B17" s="45">
        <v>14</v>
      </c>
      <c r="C17" s="48"/>
      <c r="D17" s="48"/>
      <c r="E17" s="48"/>
      <c r="F17" s="48"/>
      <c r="G17" s="48"/>
      <c r="H17" s="48"/>
      <c r="I17" s="48"/>
      <c r="J17" s="48"/>
      <c r="K17" s="48"/>
      <c r="L17" s="48"/>
      <c r="M17" s="48"/>
      <c r="N17" s="48"/>
      <c r="O17" s="48"/>
      <c r="P17" s="46">
        <f>$A17*Variables!$C$2</f>
        <v>460.98071824712736</v>
      </c>
      <c r="Q17" s="46">
        <f t="shared" ref="Q17:Y17" si="48">(P17*$A$1)+P17</f>
        <v>470.20033261206993</v>
      </c>
      <c r="R17" s="46">
        <f t="shared" si="48"/>
        <v>479.60433926431131</v>
      </c>
      <c r="S17" s="46">
        <f t="shared" si="48"/>
        <v>489.19642604959751</v>
      </c>
      <c r="T17" s="46">
        <f t="shared" si="48"/>
        <v>498.98035457058944</v>
      </c>
      <c r="U17" s="46">
        <f t="shared" si="48"/>
        <v>508.95996166200121</v>
      </c>
      <c r="V17" s="46">
        <f t="shared" si="48"/>
        <v>519.13916089524128</v>
      </c>
      <c r="W17" s="46">
        <f t="shared" si="48"/>
        <v>529.52194411314611</v>
      </c>
      <c r="X17" s="46">
        <f t="shared" si="48"/>
        <v>540.11238299540901</v>
      </c>
      <c r="Y17" s="46">
        <f t="shared" si="48"/>
        <v>550.91463065531718</v>
      </c>
      <c r="Z17" s="46">
        <f t="shared" si="1"/>
        <v>561.93292326842356</v>
      </c>
      <c r="AA17" s="46">
        <f t="shared" si="2"/>
        <v>573.17158173379198</v>
      </c>
      <c r="AB17" s="46">
        <f t="shared" si="3"/>
        <v>584.63501336846787</v>
      </c>
      <c r="AC17" s="46">
        <f t="shared" si="4"/>
        <v>596.3277136358372</v>
      </c>
      <c r="AD17" s="46">
        <f t="shared" si="5"/>
        <v>608.25426790855397</v>
      </c>
      <c r="AE17" s="46">
        <f t="shared" si="6"/>
        <v>620.41935326672501</v>
      </c>
      <c r="AF17" s="46">
        <f t="shared" si="7"/>
        <v>632.82774033205953</v>
      </c>
      <c r="AG17" s="46">
        <f t="shared" si="8"/>
        <v>645.48429513870076</v>
      </c>
      <c r="AH17" s="46">
        <f t="shared" si="9"/>
        <v>658.39398104147472</v>
      </c>
      <c r="AI17" s="46">
        <f t="shared" si="10"/>
        <v>671.56186066230418</v>
      </c>
      <c r="AJ17" s="46">
        <f t="shared" si="11"/>
        <v>684.99309787555023</v>
      </c>
      <c r="AK17" s="46">
        <f t="shared" si="12"/>
        <v>698.6929598330612</v>
      </c>
      <c r="AL17" s="46">
        <f t="shared" si="13"/>
        <v>712.66681902972243</v>
      </c>
      <c r="AM17" s="46">
        <f t="shared" si="14"/>
        <v>726.92015541031685</v>
      </c>
      <c r="AN17" s="46">
        <f t="shared" si="15"/>
        <v>741.4585585185232</v>
      </c>
      <c r="AO17" s="46">
        <f t="shared" si="16"/>
        <v>756.28772968889371</v>
      </c>
      <c r="AP17" s="46">
        <f t="shared" si="17"/>
        <v>771.41348428267156</v>
      </c>
      <c r="AQ17" s="46">
        <f t="shared" si="18"/>
        <v>786.84175396832495</v>
      </c>
      <c r="AR17" s="46">
        <f t="shared" si="19"/>
        <v>802.57858904769148</v>
      </c>
      <c r="AS17" s="46">
        <f t="shared" si="20"/>
        <v>818.63016082864533</v>
      </c>
      <c r="AT17" s="46">
        <f t="shared" si="21"/>
        <v>835.00276404521821</v>
      </c>
      <c r="AU17" s="47">
        <f t="shared" si="22"/>
        <v>851.70281932612261</v>
      </c>
      <c r="AV17" s="47">
        <f t="shared" si="23"/>
        <v>868.73687571264509</v>
      </c>
      <c r="AW17" s="47">
        <f t="shared" si="24"/>
        <v>886.11161322689804</v>
      </c>
      <c r="AX17" s="47">
        <f t="shared" si="25"/>
        <v>903.83384549143602</v>
      </c>
      <c r="AY17" s="47">
        <f t="shared" si="26"/>
        <v>921.91052240126476</v>
      </c>
      <c r="AZ17" s="47">
        <f t="shared" si="27"/>
        <v>940.34873284929006</v>
      </c>
      <c r="BA17" s="47">
        <f t="shared" si="28"/>
        <v>959.1557075062758</v>
      </c>
      <c r="BB17" s="47">
        <f t="shared" si="29"/>
        <v>978.33882165640136</v>
      </c>
      <c r="BC17" s="47">
        <f t="shared" si="30"/>
        <v>997.90559808952935</v>
      </c>
      <c r="BD17" s="90">
        <f t="shared" si="31"/>
        <v>1017.8637100513199</v>
      </c>
      <c r="BE17" s="90">
        <f t="shared" si="32"/>
        <v>1038.2209842523464</v>
      </c>
      <c r="BF17" s="90">
        <f t="shared" si="33"/>
        <v>1058.9854039373934</v>
      </c>
      <c r="BG17" s="90">
        <f t="shared" si="34"/>
        <v>1080.1651120161412</v>
      </c>
      <c r="BH17" s="90">
        <f t="shared" si="35"/>
        <v>1101.768414256464</v>
      </c>
    </row>
    <row r="18" spans="1:60" x14ac:dyDescent="0.25">
      <c r="A18" s="44">
        <f>'2015 Pension Calculation'!E34</f>
        <v>30024.991693996304</v>
      </c>
      <c r="B18" s="45">
        <v>15</v>
      </c>
      <c r="C18" s="48"/>
      <c r="D18" s="48"/>
      <c r="E18" s="48"/>
      <c r="F18" s="48"/>
      <c r="G18" s="48"/>
      <c r="H18" s="48"/>
      <c r="I18" s="48"/>
      <c r="J18" s="48"/>
      <c r="K18" s="48"/>
      <c r="L18" s="48"/>
      <c r="M18" s="48"/>
      <c r="N18" s="48"/>
      <c r="O18" s="48"/>
      <c r="P18" s="48"/>
      <c r="Q18" s="46">
        <f>$A18*Variables!$C$2</f>
        <v>463.28562183836294</v>
      </c>
      <c r="R18" s="46">
        <f t="shared" ref="R18:Y18" si="49">(Q18*$A$1)+Q18</f>
        <v>472.55133427513022</v>
      </c>
      <c r="S18" s="46">
        <f t="shared" si="49"/>
        <v>482.00236096063281</v>
      </c>
      <c r="T18" s="46">
        <f t="shared" si="49"/>
        <v>491.64240817984546</v>
      </c>
      <c r="U18" s="46">
        <f t="shared" si="49"/>
        <v>501.47525634344237</v>
      </c>
      <c r="V18" s="46">
        <f t="shared" si="49"/>
        <v>511.50476147031122</v>
      </c>
      <c r="W18" s="46">
        <f t="shared" si="49"/>
        <v>521.7348566997174</v>
      </c>
      <c r="X18" s="46">
        <f t="shared" si="49"/>
        <v>532.16955383371169</v>
      </c>
      <c r="Y18" s="46">
        <f t="shared" si="49"/>
        <v>542.81294491038591</v>
      </c>
      <c r="Z18" s="46">
        <f t="shared" si="1"/>
        <v>553.66920380859358</v>
      </c>
      <c r="AA18" s="46">
        <f t="shared" si="2"/>
        <v>564.7425878847655</v>
      </c>
      <c r="AB18" s="46">
        <f t="shared" si="3"/>
        <v>576.03743964246075</v>
      </c>
      <c r="AC18" s="46">
        <f t="shared" si="4"/>
        <v>587.55818843530994</v>
      </c>
      <c r="AD18" s="46">
        <f t="shared" si="5"/>
        <v>599.30935220401614</v>
      </c>
      <c r="AE18" s="46">
        <f t="shared" si="6"/>
        <v>611.29553924809647</v>
      </c>
      <c r="AF18" s="46">
        <f t="shared" si="7"/>
        <v>623.52145003305839</v>
      </c>
      <c r="AG18" s="46">
        <f t="shared" si="8"/>
        <v>635.99187903371956</v>
      </c>
      <c r="AH18" s="46">
        <f t="shared" si="9"/>
        <v>648.71171661439394</v>
      </c>
      <c r="AI18" s="46">
        <f t="shared" si="10"/>
        <v>661.68595094668183</v>
      </c>
      <c r="AJ18" s="46">
        <f t="shared" si="11"/>
        <v>674.91966996561541</v>
      </c>
      <c r="AK18" s="46">
        <f t="shared" si="12"/>
        <v>688.41806336492778</v>
      </c>
      <c r="AL18" s="46">
        <f t="shared" si="13"/>
        <v>702.18642463222636</v>
      </c>
      <c r="AM18" s="46">
        <f t="shared" si="14"/>
        <v>716.23015312487087</v>
      </c>
      <c r="AN18" s="46">
        <f t="shared" si="15"/>
        <v>730.5547561873683</v>
      </c>
      <c r="AO18" s="46">
        <f t="shared" si="16"/>
        <v>745.16585131111572</v>
      </c>
      <c r="AP18" s="46">
        <f t="shared" si="17"/>
        <v>760.06916833733806</v>
      </c>
      <c r="AQ18" s="46">
        <f t="shared" si="18"/>
        <v>775.27055170408482</v>
      </c>
      <c r="AR18" s="46">
        <f t="shared" si="19"/>
        <v>790.77596273816653</v>
      </c>
      <c r="AS18" s="46">
        <f t="shared" si="20"/>
        <v>806.59148199292986</v>
      </c>
      <c r="AT18" s="46">
        <f t="shared" si="21"/>
        <v>822.72331163278841</v>
      </c>
      <c r="AU18" s="47">
        <f t="shared" si="22"/>
        <v>839.17777786544423</v>
      </c>
      <c r="AV18" s="47">
        <f t="shared" si="23"/>
        <v>855.96133342275311</v>
      </c>
      <c r="AW18" s="47">
        <f t="shared" si="24"/>
        <v>873.08056009120821</v>
      </c>
      <c r="AX18" s="47">
        <f t="shared" si="25"/>
        <v>890.54217129303242</v>
      </c>
      <c r="AY18" s="47">
        <f t="shared" si="26"/>
        <v>908.35301471889306</v>
      </c>
      <c r="AZ18" s="47">
        <f t="shared" si="27"/>
        <v>926.52007501327091</v>
      </c>
      <c r="BA18" s="47">
        <f t="shared" si="28"/>
        <v>945.0504765135363</v>
      </c>
      <c r="BB18" s="47">
        <f t="shared" si="29"/>
        <v>963.95148604380699</v>
      </c>
      <c r="BC18" s="47">
        <f t="shared" si="30"/>
        <v>983.2305157646831</v>
      </c>
      <c r="BD18" s="90">
        <f t="shared" si="31"/>
        <v>1002.8951260799768</v>
      </c>
      <c r="BE18" s="90">
        <f t="shared" si="32"/>
        <v>1022.9530286015763</v>
      </c>
      <c r="BF18" s="90">
        <f t="shared" si="33"/>
        <v>1043.4120891736079</v>
      </c>
      <c r="BG18" s="90">
        <f t="shared" si="34"/>
        <v>1064.28033095708</v>
      </c>
      <c r="BH18" s="90">
        <f t="shared" si="35"/>
        <v>1085.5659375762216</v>
      </c>
    </row>
    <row r="19" spans="1:60" x14ac:dyDescent="0.25">
      <c r="A19" s="44">
        <f>'2015 Pension Calculation'!E35</f>
        <v>30175.116652466284</v>
      </c>
      <c r="B19" s="45">
        <v>16</v>
      </c>
      <c r="C19" s="48"/>
      <c r="D19" s="48"/>
      <c r="E19" s="48"/>
      <c r="F19" s="48"/>
      <c r="G19" s="48"/>
      <c r="H19" s="48"/>
      <c r="I19" s="48"/>
      <c r="J19" s="48"/>
      <c r="K19" s="48"/>
      <c r="L19" s="48"/>
      <c r="M19" s="48"/>
      <c r="N19" s="48"/>
      <c r="O19" s="48"/>
      <c r="P19" s="48"/>
      <c r="Q19" s="48"/>
      <c r="R19" s="46">
        <f>$A19*Variables!$C$2</f>
        <v>465.60204994755475</v>
      </c>
      <c r="S19" s="46">
        <f t="shared" ref="S19:Y19" si="50">(R19*$A$1)+R19</f>
        <v>474.91409094650584</v>
      </c>
      <c r="T19" s="46">
        <f t="shared" si="50"/>
        <v>484.41237276543598</v>
      </c>
      <c r="U19" s="46">
        <f t="shared" si="50"/>
        <v>494.1006202207447</v>
      </c>
      <c r="V19" s="46">
        <f t="shared" si="50"/>
        <v>503.98263262515957</v>
      </c>
      <c r="W19" s="46">
        <f t="shared" si="50"/>
        <v>514.0622852776628</v>
      </c>
      <c r="X19" s="46">
        <f t="shared" si="50"/>
        <v>524.34353098321606</v>
      </c>
      <c r="Y19" s="46">
        <f t="shared" si="50"/>
        <v>534.83040160288033</v>
      </c>
      <c r="Z19" s="46">
        <f t="shared" si="1"/>
        <v>545.52700963493794</v>
      </c>
      <c r="AA19" s="46">
        <f t="shared" si="2"/>
        <v>556.43754982763664</v>
      </c>
      <c r="AB19" s="46">
        <f t="shared" si="3"/>
        <v>567.5663008241894</v>
      </c>
      <c r="AC19" s="46">
        <f t="shared" si="4"/>
        <v>578.91762684067317</v>
      </c>
      <c r="AD19" s="46">
        <f t="shared" si="5"/>
        <v>590.49597937748661</v>
      </c>
      <c r="AE19" s="46">
        <f t="shared" si="6"/>
        <v>602.30589896503636</v>
      </c>
      <c r="AF19" s="46">
        <f t="shared" si="7"/>
        <v>614.35201694433704</v>
      </c>
      <c r="AG19" s="46">
        <f t="shared" si="8"/>
        <v>626.63905728322379</v>
      </c>
      <c r="AH19" s="46">
        <f t="shared" si="9"/>
        <v>639.17183842888824</v>
      </c>
      <c r="AI19" s="46">
        <f t="shared" si="10"/>
        <v>651.95527519746599</v>
      </c>
      <c r="AJ19" s="46">
        <f t="shared" si="11"/>
        <v>664.99438070141537</v>
      </c>
      <c r="AK19" s="46">
        <f t="shared" si="12"/>
        <v>678.29426831544367</v>
      </c>
      <c r="AL19" s="46">
        <f t="shared" si="13"/>
        <v>691.86015368175254</v>
      </c>
      <c r="AM19" s="46">
        <f t="shared" si="14"/>
        <v>705.69735675538755</v>
      </c>
      <c r="AN19" s="46">
        <f t="shared" si="15"/>
        <v>719.81130389049531</v>
      </c>
      <c r="AO19" s="46">
        <f t="shared" si="16"/>
        <v>734.20752996830527</v>
      </c>
      <c r="AP19" s="46">
        <f t="shared" si="17"/>
        <v>748.89168056767141</v>
      </c>
      <c r="AQ19" s="46">
        <f t="shared" si="18"/>
        <v>763.8695141790248</v>
      </c>
      <c r="AR19" s="46">
        <f t="shared" si="19"/>
        <v>779.14690446260533</v>
      </c>
      <c r="AS19" s="46">
        <f t="shared" si="20"/>
        <v>794.72984255185747</v>
      </c>
      <c r="AT19" s="46">
        <f t="shared" si="21"/>
        <v>810.62443940289461</v>
      </c>
      <c r="AU19" s="47">
        <f t="shared" si="22"/>
        <v>826.83692819095245</v>
      </c>
      <c r="AV19" s="47">
        <f t="shared" si="23"/>
        <v>843.37366675477153</v>
      </c>
      <c r="AW19" s="47">
        <f t="shared" si="24"/>
        <v>860.24114008986692</v>
      </c>
      <c r="AX19" s="47">
        <f t="shared" si="25"/>
        <v>877.44596289166429</v>
      </c>
      <c r="AY19" s="47">
        <f t="shared" si="26"/>
        <v>894.99488214949758</v>
      </c>
      <c r="AZ19" s="47">
        <f t="shared" si="27"/>
        <v>912.8947797924875</v>
      </c>
      <c r="BA19" s="47">
        <f t="shared" si="28"/>
        <v>931.15267538833723</v>
      </c>
      <c r="BB19" s="47">
        <f t="shared" si="29"/>
        <v>949.77572889610394</v>
      </c>
      <c r="BC19" s="47">
        <f t="shared" si="30"/>
        <v>968.77124347402605</v>
      </c>
      <c r="BD19" s="90">
        <f t="shared" si="31"/>
        <v>988.14666834350658</v>
      </c>
      <c r="BE19" s="90">
        <f t="shared" si="32"/>
        <v>1007.9096017103767</v>
      </c>
      <c r="BF19" s="90">
        <f t="shared" si="33"/>
        <v>1028.0677937445842</v>
      </c>
      <c r="BG19" s="90">
        <f t="shared" si="34"/>
        <v>1048.6291496194758</v>
      </c>
      <c r="BH19" s="90">
        <f t="shared" si="35"/>
        <v>1069.6017326118654</v>
      </c>
    </row>
    <row r="20" spans="1:60" x14ac:dyDescent="0.25">
      <c r="A20" s="44">
        <f>'2015 Pension Calculation'!E36</f>
        <v>30325.992235728612</v>
      </c>
      <c r="B20" s="45">
        <v>17</v>
      </c>
      <c r="C20" s="48"/>
      <c r="D20" s="48"/>
      <c r="E20" s="48"/>
      <c r="F20" s="48"/>
      <c r="G20" s="48"/>
      <c r="H20" s="48"/>
      <c r="I20" s="48"/>
      <c r="J20" s="48"/>
      <c r="K20" s="48"/>
      <c r="L20" s="48"/>
      <c r="M20" s="48"/>
      <c r="N20" s="48"/>
      <c r="O20" s="48"/>
      <c r="P20" s="48"/>
      <c r="Q20" s="48"/>
      <c r="R20" s="48"/>
      <c r="S20" s="46">
        <f>$A20*Variables!$C$2</f>
        <v>467.93006019729245</v>
      </c>
      <c r="T20" s="46">
        <f t="shared" ref="T20:Y20" si="51">(S20*$A$1)+S20</f>
        <v>477.2886614012383</v>
      </c>
      <c r="U20" s="46">
        <f t="shared" si="51"/>
        <v>486.83443462926306</v>
      </c>
      <c r="V20" s="46">
        <f t="shared" si="51"/>
        <v>496.57112332184829</v>
      </c>
      <c r="W20" s="46">
        <f t="shared" si="51"/>
        <v>506.50254578828526</v>
      </c>
      <c r="X20" s="46">
        <f t="shared" si="51"/>
        <v>516.63259670405091</v>
      </c>
      <c r="Y20" s="46">
        <f t="shared" si="51"/>
        <v>526.96524863813192</v>
      </c>
      <c r="Z20" s="46">
        <f t="shared" si="1"/>
        <v>537.50455361089462</v>
      </c>
      <c r="AA20" s="46">
        <f t="shared" si="2"/>
        <v>548.25464468311247</v>
      </c>
      <c r="AB20" s="46">
        <f t="shared" si="3"/>
        <v>559.21973757677472</v>
      </c>
      <c r="AC20" s="46">
        <f t="shared" si="4"/>
        <v>570.4041323283102</v>
      </c>
      <c r="AD20" s="46">
        <f t="shared" si="5"/>
        <v>581.81221497487638</v>
      </c>
      <c r="AE20" s="46">
        <f t="shared" si="6"/>
        <v>593.44845927437393</v>
      </c>
      <c r="AF20" s="46">
        <f t="shared" si="7"/>
        <v>605.31742845986139</v>
      </c>
      <c r="AG20" s="46">
        <f t="shared" si="8"/>
        <v>617.42377702905867</v>
      </c>
      <c r="AH20" s="46">
        <f t="shared" si="9"/>
        <v>629.77225256963982</v>
      </c>
      <c r="AI20" s="46">
        <f t="shared" si="10"/>
        <v>642.36769762103256</v>
      </c>
      <c r="AJ20" s="46">
        <f t="shared" si="11"/>
        <v>655.21505157345325</v>
      </c>
      <c r="AK20" s="46">
        <f t="shared" si="12"/>
        <v>668.3193526049223</v>
      </c>
      <c r="AL20" s="46">
        <f t="shared" si="13"/>
        <v>681.6857396570208</v>
      </c>
      <c r="AM20" s="46">
        <f t="shared" si="14"/>
        <v>695.31945445016117</v>
      </c>
      <c r="AN20" s="46">
        <f t="shared" si="15"/>
        <v>709.22584353916443</v>
      </c>
      <c r="AO20" s="46">
        <f t="shared" si="16"/>
        <v>723.41036040994777</v>
      </c>
      <c r="AP20" s="46">
        <f t="shared" si="17"/>
        <v>737.87856761814669</v>
      </c>
      <c r="AQ20" s="46">
        <f t="shared" si="18"/>
        <v>752.63613897050959</v>
      </c>
      <c r="AR20" s="46">
        <f t="shared" si="19"/>
        <v>767.68886174991974</v>
      </c>
      <c r="AS20" s="46">
        <f t="shared" si="20"/>
        <v>783.04263898491809</v>
      </c>
      <c r="AT20" s="46">
        <f t="shared" si="21"/>
        <v>798.7034917646165</v>
      </c>
      <c r="AU20" s="47">
        <f t="shared" si="22"/>
        <v>814.67756159990881</v>
      </c>
      <c r="AV20" s="47">
        <f t="shared" si="23"/>
        <v>830.97111283190702</v>
      </c>
      <c r="AW20" s="47">
        <f t="shared" si="24"/>
        <v>847.59053508854515</v>
      </c>
      <c r="AX20" s="47">
        <f t="shared" si="25"/>
        <v>864.54234579031606</v>
      </c>
      <c r="AY20" s="47">
        <f t="shared" si="26"/>
        <v>881.83319270612242</v>
      </c>
      <c r="AZ20" s="47">
        <f t="shared" si="27"/>
        <v>899.46985656024492</v>
      </c>
      <c r="BA20" s="47">
        <f t="shared" si="28"/>
        <v>917.45925369144982</v>
      </c>
      <c r="BB20" s="47">
        <f t="shared" si="29"/>
        <v>935.80843876527877</v>
      </c>
      <c r="BC20" s="47">
        <f t="shared" si="30"/>
        <v>954.52460754058438</v>
      </c>
      <c r="BD20" s="90">
        <f t="shared" si="31"/>
        <v>973.61509969139604</v>
      </c>
      <c r="BE20" s="90">
        <f t="shared" si="32"/>
        <v>993.08740168522399</v>
      </c>
      <c r="BF20" s="90">
        <f t="shared" si="33"/>
        <v>1012.9491497189284</v>
      </c>
      <c r="BG20" s="90">
        <f t="shared" si="34"/>
        <v>1033.2081327133069</v>
      </c>
      <c r="BH20" s="90">
        <f t="shared" si="35"/>
        <v>1053.8722953675731</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18683.247142434248</v>
      </c>
      <c r="BE55" s="90">
        <f t="shared" ref="BE55:BH55" si="56">(BD55*$A$1)+BD55</f>
        <v>19056.912085282933</v>
      </c>
      <c r="BF55" s="90">
        <f t="shared" si="56"/>
        <v>19438.050326988592</v>
      </c>
      <c r="BG55" s="90">
        <f t="shared" si="56"/>
        <v>19826.811333528363</v>
      </c>
      <c r="BH55" s="90">
        <f t="shared" si="56"/>
        <v>20223.34756019893</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432.03999999999996</v>
      </c>
      <c r="D58" s="92">
        <f t="shared" ref="D58:AU58" si="57">SUM(D4:D48)</f>
        <v>874.88099999999986</v>
      </c>
      <c r="E58" s="92">
        <f t="shared" si="57"/>
        <v>1328.7498209999999</v>
      </c>
      <c r="F58" s="92">
        <f t="shared" si="57"/>
        <v>1793.8778744249996</v>
      </c>
      <c r="G58" s="92">
        <f t="shared" si="57"/>
        <v>2270.5012542035247</v>
      </c>
      <c r="H58" s="92">
        <f t="shared" si="57"/>
        <v>2758.8608306890696</v>
      </c>
      <c r="I58" s="92">
        <f t="shared" si="57"/>
        <v>3259.202346461333</v>
      </c>
      <c r="J58" s="92">
        <f t="shared" si="57"/>
        <v>3771.7765140448346</v>
      </c>
      <c r="K58" s="92">
        <f t="shared" si="57"/>
        <v>4296.8391155832778</v>
      </c>
      <c r="L58" s="92">
        <f t="shared" si="57"/>
        <v>4834.6511045087764</v>
      </c>
      <c r="M58" s="92">
        <f t="shared" si="57"/>
        <v>5385.4787092458537</v>
      </c>
      <c r="N58" s="92">
        <f t="shared" si="57"/>
        <v>5949.5935389909091</v>
      </c>
      <c r="O58" s="92">
        <f t="shared" si="57"/>
        <v>6527.272691608664</v>
      </c>
      <c r="P58" s="92">
        <f t="shared" si="57"/>
        <v>7118.7988636879654</v>
      </c>
      <c r="Q58" s="92">
        <f t="shared" si="57"/>
        <v>7724.460462800088</v>
      </c>
      <c r="R58" s="92">
        <f t="shared" si="57"/>
        <v>8344.5517220036436</v>
      </c>
      <c r="S58" s="92">
        <f t="shared" si="57"/>
        <v>8979.3728166410074</v>
      </c>
      <c r="T58" s="92">
        <f t="shared" si="57"/>
        <v>9158.960272973829</v>
      </c>
      <c r="U58" s="92">
        <f t="shared" si="57"/>
        <v>9342.1394784333061</v>
      </c>
      <c r="V58" s="92">
        <f t="shared" si="57"/>
        <v>9528.9822680019734</v>
      </c>
      <c r="W58" s="92">
        <f t="shared" si="57"/>
        <v>9719.561913362013</v>
      </c>
      <c r="X58" s="92">
        <f t="shared" si="57"/>
        <v>9913.95315162925</v>
      </c>
      <c r="Y58" s="92">
        <f t="shared" si="57"/>
        <v>10112.232214661835</v>
      </c>
      <c r="Z58" s="92">
        <f t="shared" si="57"/>
        <v>10314.476858955073</v>
      </c>
      <c r="AA58" s="92">
        <f t="shared" si="57"/>
        <v>10520.766396134175</v>
      </c>
      <c r="AB58" s="92">
        <f t="shared" si="57"/>
        <v>10731.18172405686</v>
      </c>
      <c r="AC58" s="92">
        <f t="shared" si="57"/>
        <v>10945.805358537997</v>
      </c>
      <c r="AD58" s="92">
        <f t="shared" si="57"/>
        <v>11164.721465708755</v>
      </c>
      <c r="AE58" s="92">
        <f t="shared" si="57"/>
        <v>11388.015895022931</v>
      </c>
      <c r="AF58" s="92">
        <f t="shared" si="57"/>
        <v>11615.776212923387</v>
      </c>
      <c r="AG58" s="92">
        <f t="shared" si="57"/>
        <v>11848.091737181858</v>
      </c>
      <c r="AH58" s="92">
        <f t="shared" si="57"/>
        <v>12085.053571925491</v>
      </c>
      <c r="AI58" s="92">
        <f t="shared" si="57"/>
        <v>12326.754643364004</v>
      </c>
      <c r="AJ58" s="92">
        <f t="shared" si="57"/>
        <v>12573.289736231283</v>
      </c>
      <c r="AK58" s="92">
        <f t="shared" si="57"/>
        <v>12824.755530955907</v>
      </c>
      <c r="AL58" s="92">
        <f t="shared" si="57"/>
        <v>13081.250641575029</v>
      </c>
      <c r="AM58" s="92">
        <f t="shared" si="57"/>
        <v>13342.875654406525</v>
      </c>
      <c r="AN58" s="92">
        <f t="shared" si="57"/>
        <v>13609.73316749466</v>
      </c>
      <c r="AO58" s="92">
        <f t="shared" si="57"/>
        <v>13881.927830844556</v>
      </c>
      <c r="AP58" s="92">
        <f t="shared" si="57"/>
        <v>14159.566387461442</v>
      </c>
      <c r="AQ58" s="92">
        <f t="shared" si="57"/>
        <v>14442.757715210673</v>
      </c>
      <c r="AR58" s="92">
        <f t="shared" si="57"/>
        <v>14731.612869514884</v>
      </c>
      <c r="AS58" s="92">
        <f t="shared" si="57"/>
        <v>15026.24512690518</v>
      </c>
      <c r="AT58" s="92">
        <f t="shared" si="57"/>
        <v>15326.770029443285</v>
      </c>
      <c r="AU58" s="92">
        <f t="shared" si="57"/>
        <v>15633.305430032153</v>
      </c>
      <c r="AV58" s="93">
        <f t="shared" ref="AV58:BC58" si="58">(AU58*$A$1)+AU58</f>
        <v>15945.971538632795</v>
      </c>
      <c r="AW58" s="93">
        <f t="shared" si="58"/>
        <v>16264.890969405451</v>
      </c>
      <c r="AX58" s="93">
        <f t="shared" si="58"/>
        <v>16590.188788793559</v>
      </c>
      <c r="AY58" s="93">
        <f t="shared" si="58"/>
        <v>16921.992564569431</v>
      </c>
      <c r="AZ58" s="93">
        <f t="shared" si="58"/>
        <v>17260.432415860821</v>
      </c>
      <c r="BA58" s="93">
        <f t="shared" si="58"/>
        <v>17605.641064178039</v>
      </c>
      <c r="BB58" s="93">
        <f t="shared" si="58"/>
        <v>17957.7538854616</v>
      </c>
      <c r="BC58" s="93">
        <f t="shared" si="58"/>
        <v>18316.90896317083</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C12" sqref="C1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6" t="s">
        <v>16</v>
      </c>
      <c r="B1" s="217"/>
      <c r="C1" s="53" t="s">
        <v>17</v>
      </c>
    </row>
    <row r="2" spans="1:3" ht="18.75" x14ac:dyDescent="0.3">
      <c r="A2" s="210" t="s">
        <v>132</v>
      </c>
      <c r="B2" s="211"/>
      <c r="C2" s="54">
        <v>1.5429999999999999E-2</v>
      </c>
    </row>
    <row r="3" spans="1:3" ht="18.75" x14ac:dyDescent="0.3">
      <c r="A3" s="212" t="s">
        <v>13</v>
      </c>
      <c r="B3" s="213"/>
      <c r="C3" s="55">
        <v>42095</v>
      </c>
    </row>
    <row r="4" spans="1:3" ht="18.75" x14ac:dyDescent="0.3">
      <c r="A4" s="212" t="s">
        <v>14</v>
      </c>
      <c r="B4" s="213"/>
      <c r="C4" s="56">
        <v>67</v>
      </c>
    </row>
    <row r="5" spans="1:3" ht="19.5" thickBot="1" x14ac:dyDescent="0.35">
      <c r="A5" s="214" t="s">
        <v>5</v>
      </c>
      <c r="B5" s="215"/>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59"/>
  <sheetViews>
    <sheetView topLeftCell="A13" workbookViewId="0">
      <selection activeCell="J19" sqref="J19"/>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23</v>
      </c>
      <c r="X1" s="68">
        <v>55</v>
      </c>
      <c r="Y1" s="80">
        <v>1</v>
      </c>
      <c r="AA1" s="64">
        <v>0.56299999999999994</v>
      </c>
    </row>
    <row r="2" spans="1:44" ht="18.75" x14ac:dyDescent="0.3">
      <c r="A2" s="75" t="s">
        <v>40</v>
      </c>
      <c r="C2" s="76"/>
      <c r="D2" s="76"/>
      <c r="E2" s="76"/>
      <c r="F2" s="76"/>
      <c r="G2" s="76"/>
      <c r="H2" s="76"/>
      <c r="X2" s="68">
        <v>55.083333333333336</v>
      </c>
      <c r="Y2" s="80">
        <v>1</v>
      </c>
      <c r="AA2" s="64">
        <v>0.56499999999999995</v>
      </c>
    </row>
    <row r="3" spans="1:44" ht="18.75" x14ac:dyDescent="0.3">
      <c r="A3" s="65" t="s">
        <v>24</v>
      </c>
      <c r="B3" s="69"/>
      <c r="C3" s="69"/>
      <c r="D3" s="69"/>
      <c r="E3" s="69"/>
      <c r="F3" s="69"/>
      <c r="G3" s="69"/>
      <c r="H3" s="69"/>
      <c r="I3" s="69"/>
      <c r="J3" s="69"/>
      <c r="K3" s="69"/>
      <c r="L3" s="69"/>
      <c r="M3" s="69"/>
      <c r="N3" s="69"/>
      <c r="O3" s="69"/>
      <c r="P3" s="69"/>
      <c r="Q3" s="69"/>
      <c r="R3" s="69"/>
      <c r="X3" s="68">
        <v>55.166666666666664</v>
      </c>
      <c r="Y3" s="80">
        <v>1</v>
      </c>
      <c r="AA3" s="64">
        <v>0.56699999999999995</v>
      </c>
    </row>
    <row r="4" spans="1:44" ht="18.75" x14ac:dyDescent="0.3">
      <c r="A4" s="65" t="s">
        <v>42</v>
      </c>
      <c r="B4" s="69"/>
      <c r="C4" s="69"/>
      <c r="D4" s="69"/>
      <c r="E4" s="69"/>
      <c r="F4" s="69"/>
      <c r="G4" s="69"/>
      <c r="H4" s="69"/>
      <c r="I4" s="69"/>
      <c r="J4" s="69"/>
      <c r="K4" s="69"/>
      <c r="L4" s="69"/>
      <c r="M4" s="69"/>
      <c r="N4" s="69"/>
      <c r="O4" s="69"/>
      <c r="P4" s="69"/>
      <c r="Q4" s="69"/>
      <c r="R4" s="69"/>
      <c r="T4" s="64">
        <v>55</v>
      </c>
      <c r="U4" s="67">
        <f>LOOKUP(T4,'2015 Pension Calculation'!D20:D64,'2015 Pension Calculation'!H20:H64)</f>
        <v>2879.5445851875875</v>
      </c>
      <c r="X4" s="68">
        <v>55.25</v>
      </c>
      <c r="Y4" s="80">
        <v>1</v>
      </c>
      <c r="AA4" s="64">
        <v>0.56899999999999995</v>
      </c>
      <c r="AL4" s="64">
        <v>55</v>
      </c>
      <c r="AM4" s="64">
        <v>0.55400000000000005</v>
      </c>
    </row>
    <row r="5" spans="1:44" ht="18.75" x14ac:dyDescent="0.3">
      <c r="A5" s="65" t="s">
        <v>25</v>
      </c>
      <c r="B5" s="69"/>
      <c r="C5" s="69"/>
      <c r="D5" s="69"/>
      <c r="E5" s="69"/>
      <c r="F5" s="69"/>
      <c r="G5" s="69"/>
      <c r="H5" s="69"/>
      <c r="I5" s="69"/>
      <c r="J5" s="69"/>
      <c r="K5" s="69"/>
      <c r="L5" s="69"/>
      <c r="M5" s="69"/>
      <c r="N5" s="69"/>
      <c r="O5" s="69"/>
      <c r="P5" s="69"/>
      <c r="Q5" s="69"/>
      <c r="R5" s="69"/>
      <c r="T5" s="64">
        <v>56</v>
      </c>
      <c r="U5" s="67">
        <f>LOOKUP(T5,'2015 Pension Calculation'!D21:D67,'2015 Pension Calculation'!H21:H67)</f>
        <v>3430.2966773151174</v>
      </c>
      <c r="X5" s="68">
        <v>55.333333333333336</v>
      </c>
      <c r="Y5" s="80">
        <v>1</v>
      </c>
      <c r="AA5" s="64">
        <v>0.57099999999999995</v>
      </c>
      <c r="AL5" s="64">
        <v>55.083333333333336</v>
      </c>
      <c r="AM5" s="64">
        <v>0.55600000000000005</v>
      </c>
    </row>
    <row r="6" spans="1:44" ht="18.75" x14ac:dyDescent="0.3">
      <c r="P6" s="69"/>
      <c r="Q6" s="69"/>
      <c r="R6" s="69"/>
      <c r="T6" s="64">
        <v>57</v>
      </c>
      <c r="U6" s="67">
        <f>LOOKUP(T6,'2015 Pension Calculation'!D22:D68,'2015 Pension Calculation'!H22:H68)</f>
        <v>3972.949473970184</v>
      </c>
      <c r="X6" s="68">
        <v>55.416666666666664</v>
      </c>
      <c r="Y6" s="80">
        <v>1</v>
      </c>
      <c r="AA6" s="64">
        <v>0.57299999999999995</v>
      </c>
      <c r="AL6" s="64">
        <v>55.166666666666664</v>
      </c>
      <c r="AM6" s="64">
        <v>0.55800000000000005</v>
      </c>
    </row>
    <row r="7" spans="1:44" ht="18.75" x14ac:dyDescent="0.3">
      <c r="A7" s="65" t="s">
        <v>26</v>
      </c>
      <c r="B7" s="69"/>
      <c r="C7" s="69"/>
      <c r="D7" s="69"/>
      <c r="E7" s="69"/>
      <c r="F7" s="69"/>
      <c r="G7" s="69"/>
      <c r="H7" s="69"/>
      <c r="I7" s="69"/>
      <c r="J7" s="69"/>
      <c r="K7" s="69"/>
      <c r="L7" s="69"/>
      <c r="M7" s="69"/>
      <c r="N7" s="69"/>
      <c r="O7" s="69"/>
      <c r="P7" s="69"/>
      <c r="Q7" s="69"/>
      <c r="R7" s="69"/>
      <c r="T7" s="64">
        <v>58</v>
      </c>
      <c r="U7" s="67">
        <f>LOOKUP(T7,'2015 Pension Calculation'!D23:D69,'2015 Pension Calculation'!H23:H69)</f>
        <v>4507.6220824391467</v>
      </c>
      <c r="X7" s="68">
        <v>55.5</v>
      </c>
      <c r="Y7" s="80">
        <v>1</v>
      </c>
      <c r="AA7" s="64">
        <v>0.57499999999999996</v>
      </c>
      <c r="AL7" s="64">
        <v>55.25</v>
      </c>
      <c r="AM7" s="64">
        <v>0.56000000000000005</v>
      </c>
    </row>
    <row r="8" spans="1:44" ht="18.75" x14ac:dyDescent="0.3">
      <c r="A8" s="65" t="s">
        <v>43</v>
      </c>
      <c r="B8" s="69"/>
      <c r="C8" s="69"/>
      <c r="D8" s="69"/>
      <c r="E8" s="69"/>
      <c r="F8" s="69"/>
      <c r="G8" s="69"/>
      <c r="H8" s="69"/>
      <c r="I8" s="69"/>
      <c r="J8" s="69"/>
      <c r="K8" s="69"/>
      <c r="L8" s="69"/>
      <c r="M8" s="69"/>
      <c r="N8" s="69"/>
      <c r="O8" s="69"/>
      <c r="P8" s="69"/>
      <c r="Q8" s="69"/>
      <c r="R8" s="69"/>
      <c r="T8" s="64">
        <v>59</v>
      </c>
      <c r="U8" s="67">
        <f>LOOKUP(T8,'2015 Pension Calculation'!D24:D70,'2015 Pension Calculation'!H24:H70)</f>
        <v>5034.4318584306238</v>
      </c>
      <c r="X8" s="68">
        <v>55.583333333333336</v>
      </c>
      <c r="Y8" s="80">
        <v>1</v>
      </c>
      <c r="AA8" s="64">
        <v>0.57699999999999996</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f>LOOKUP(T9,'2015 Pension Calculation'!D25:D71,'2015 Pension Calculation'!H25:H71)</f>
        <v>5553.4944318339913</v>
      </c>
      <c r="X9" s="68">
        <v>55.666666666666664</v>
      </c>
      <c r="Y9" s="80">
        <v>1</v>
      </c>
      <c r="AA9" s="64">
        <v>0.57899999999999996</v>
      </c>
      <c r="AL9" s="64">
        <v>55.416666666666664</v>
      </c>
      <c r="AM9" s="64">
        <v>0.56399999999999995</v>
      </c>
    </row>
    <row r="10" spans="1:44" ht="18.75" x14ac:dyDescent="0.3">
      <c r="A10" s="65" t="s">
        <v>29</v>
      </c>
      <c r="B10" s="69"/>
      <c r="C10" s="69"/>
      <c r="D10" s="69"/>
      <c r="E10" s="69"/>
      <c r="F10" s="69"/>
      <c r="G10" s="69"/>
      <c r="H10" s="69"/>
      <c r="I10" s="69"/>
      <c r="J10" s="69"/>
      <c r="K10" s="69"/>
      <c r="L10" s="69"/>
      <c r="M10" s="69"/>
      <c r="N10" s="69"/>
      <c r="O10" s="69"/>
      <c r="P10" s="69"/>
      <c r="Q10" s="69"/>
      <c r="R10" s="69"/>
      <c r="T10" s="64">
        <v>61</v>
      </c>
      <c r="U10" s="67">
        <f>LOOKUP(T10,'2015 Pension Calculation'!D26:D72,'2015 Pension Calculation'!H26:H72)</f>
        <v>6064.9237320990742</v>
      </c>
      <c r="X10" s="68">
        <v>55.75</v>
      </c>
      <c r="Y10" s="80">
        <v>1</v>
      </c>
      <c r="AA10" s="64">
        <v>0.58099999999999996</v>
      </c>
      <c r="AL10" s="64">
        <v>55.5</v>
      </c>
      <c r="AM10" s="64">
        <v>0.56599999999999995</v>
      </c>
    </row>
    <row r="11" spans="1:44" ht="18.75" x14ac:dyDescent="0.3">
      <c r="A11" s="65" t="s">
        <v>30</v>
      </c>
      <c r="B11" s="69"/>
      <c r="C11" s="69"/>
      <c r="D11" s="69"/>
      <c r="E11" s="69"/>
      <c r="F11" s="69"/>
      <c r="G11" s="69"/>
      <c r="H11" s="69"/>
      <c r="I11" s="69"/>
      <c r="J11" s="69"/>
      <c r="K11" s="69"/>
      <c r="L11" s="69"/>
      <c r="M11" s="69"/>
      <c r="N11" s="69"/>
      <c r="O11" s="69"/>
      <c r="P11" s="69"/>
      <c r="Q11" s="69"/>
      <c r="R11" s="69"/>
      <c r="T11" s="64">
        <v>62</v>
      </c>
      <c r="U11" s="67">
        <f>LOOKUP(T11,'2015 Pension Calculation'!D27:D73,'2015 Pension Calculation'!H27:H73)</f>
        <v>6568.8320132426115</v>
      </c>
      <c r="X11" s="68">
        <v>55.833333333333336</v>
      </c>
      <c r="Y11" s="80">
        <v>1</v>
      </c>
      <c r="AA11" s="64">
        <v>0.58299999999999996</v>
      </c>
      <c r="AF11" s="64">
        <v>1</v>
      </c>
      <c r="AG11" s="64">
        <v>12</v>
      </c>
      <c r="AH11" s="68">
        <f>AF11/AG11</f>
        <v>8.3333333333333329E-2</v>
      </c>
      <c r="AL11" s="64">
        <v>55.583333333333336</v>
      </c>
      <c r="AM11" s="64">
        <v>0.56799999999999995</v>
      </c>
    </row>
    <row r="12" spans="1:44" ht="18.75" x14ac:dyDescent="0.3">
      <c r="A12" s="66" t="s">
        <v>21</v>
      </c>
      <c r="B12" s="69"/>
      <c r="C12" s="69"/>
      <c r="D12" s="69"/>
      <c r="E12" s="69"/>
      <c r="F12" s="69"/>
      <c r="G12" s="69"/>
      <c r="H12" s="69"/>
      <c r="I12" s="69"/>
      <c r="J12" s="69"/>
      <c r="K12" s="69"/>
      <c r="L12" s="69"/>
      <c r="M12" s="69"/>
      <c r="N12" s="69"/>
      <c r="O12" s="69"/>
      <c r="P12" s="69"/>
      <c r="Q12" s="69"/>
      <c r="R12" s="69"/>
      <c r="T12" s="64">
        <v>63</v>
      </c>
      <c r="U12" s="67">
        <f>LOOKUP(T12,'2015 Pension Calculation'!D28:D74,'2015 Pension Calculation'!H28:H74)</f>
        <v>7065.3298784869794</v>
      </c>
      <c r="X12" s="68">
        <v>55.916666666666664</v>
      </c>
      <c r="Y12" s="80">
        <v>1</v>
      </c>
      <c r="AA12" s="64">
        <v>0.58499999999999996</v>
      </c>
      <c r="AB12" s="64" t="s">
        <v>33</v>
      </c>
      <c r="AD12" s="64" t="s">
        <v>34</v>
      </c>
      <c r="AF12" s="64">
        <v>2</v>
      </c>
      <c r="AG12" s="64">
        <v>12</v>
      </c>
      <c r="AH12" s="68">
        <f t="shared" ref="AH12:AH21" si="0">AF12/AG12</f>
        <v>0.16666666666666666</v>
      </c>
      <c r="AL12" s="64">
        <v>55.666666666666664</v>
      </c>
      <c r="AM12" s="64">
        <v>0.56999999999999995</v>
      </c>
      <c r="AP12" s="64" t="s">
        <v>33</v>
      </c>
      <c r="AR12" s="64" t="s">
        <v>34</v>
      </c>
    </row>
    <row r="13" spans="1:44" x14ac:dyDescent="0.25">
      <c r="T13" s="64">
        <v>64</v>
      </c>
      <c r="U13" s="67">
        <f>LOOKUP(T13,'2015 Pension Calculation'!D29:D75,'2015 Pension Calculation'!H29:H75)</f>
        <v>7554.5263045365773</v>
      </c>
      <c r="X13" s="68">
        <v>56</v>
      </c>
      <c r="Y13" s="80">
        <v>1</v>
      </c>
      <c r="AA13" s="64">
        <v>0.58699999999999997</v>
      </c>
      <c r="AF13" s="64">
        <v>3</v>
      </c>
      <c r="AG13" s="64">
        <v>12</v>
      </c>
      <c r="AH13" s="68">
        <f t="shared" si="0"/>
        <v>0.25</v>
      </c>
      <c r="AL13" s="64">
        <v>55.75</v>
      </c>
      <c r="AM13" s="64">
        <v>0.57199999999999995</v>
      </c>
    </row>
    <row r="14" spans="1:44" ht="18.75" x14ac:dyDescent="0.3">
      <c r="A14" s="65" t="s">
        <v>36</v>
      </c>
      <c r="B14" s="65"/>
      <c r="C14" s="65"/>
      <c r="D14" s="65"/>
      <c r="E14" s="65"/>
      <c r="F14" s="69"/>
      <c r="G14" s="69"/>
      <c r="J14" s="82">
        <f>LOOKUP(W20,'2015 Pension Calculation'!D20:D64,'2015 Pension Calculation'!H20:H64)</f>
        <v>8979.3728166410074</v>
      </c>
      <c r="K14" s="69"/>
      <c r="T14" s="64">
        <v>65</v>
      </c>
      <c r="U14" s="67">
        <f>LOOKUP(T14,'2015 Pension Calculation'!D30:D76,'2015 Pension Calculation'!H30:H76)</f>
        <v>8036.5286654972097</v>
      </c>
      <c r="X14" s="68">
        <v>56.083333333333336</v>
      </c>
      <c r="Y14" s="80">
        <v>1</v>
      </c>
      <c r="AA14" s="64">
        <v>0.58899999999999997</v>
      </c>
      <c r="AB14" s="68">
        <f>K17/12</f>
        <v>0</v>
      </c>
      <c r="AD14" s="68">
        <f>AB14+J17</f>
        <v>55</v>
      </c>
      <c r="AF14" s="64">
        <v>4</v>
      </c>
      <c r="AG14" s="64">
        <v>12</v>
      </c>
      <c r="AH14" s="68">
        <f t="shared" si="0"/>
        <v>0.33333333333333331</v>
      </c>
      <c r="AL14" s="64">
        <v>55.833333333333336</v>
      </c>
      <c r="AM14" s="64">
        <v>0.57399999999999995</v>
      </c>
      <c r="AP14" s="64">
        <f>K17/12</f>
        <v>0</v>
      </c>
      <c r="AR14" s="64">
        <f>J17+AP14</f>
        <v>55</v>
      </c>
    </row>
    <row r="15" spans="1:44" ht="18.75" x14ac:dyDescent="0.3">
      <c r="A15" s="65"/>
      <c r="B15" s="65"/>
      <c r="C15" s="65"/>
      <c r="D15" s="65"/>
      <c r="E15" s="65"/>
      <c r="F15" s="69"/>
      <c r="G15" s="69"/>
      <c r="J15" s="70"/>
      <c r="K15" s="69"/>
      <c r="T15" s="64">
        <v>66</v>
      </c>
      <c r="U15" s="67">
        <f>LOOKUP(T15,'2015 Pension Calculation'!D31:D77,'2015 Pension Calculation'!H31:H77)</f>
        <v>8511.4427564437156</v>
      </c>
      <c r="X15" s="68">
        <v>56.166666666666664</v>
      </c>
      <c r="Y15" s="80">
        <v>1</v>
      </c>
      <c r="AA15" s="64">
        <v>0.59099999999999997</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31</v>
      </c>
      <c r="K16" s="65" t="s">
        <v>32</v>
      </c>
      <c r="X16" s="68">
        <v>56.25</v>
      </c>
      <c r="Y16" s="80">
        <v>1</v>
      </c>
      <c r="AA16" s="64">
        <v>0.59299999999999997</v>
      </c>
      <c r="AF16" s="64">
        <v>6</v>
      </c>
      <c r="AG16" s="64">
        <v>12</v>
      </c>
      <c r="AH16" s="68">
        <f t="shared" si="0"/>
        <v>0.5</v>
      </c>
      <c r="AL16" s="64">
        <v>56</v>
      </c>
      <c r="AM16" s="64">
        <v>0.57799999999999996</v>
      </c>
    </row>
    <row r="17" spans="1:42" ht="18.75" x14ac:dyDescent="0.3">
      <c r="A17" s="65" t="s">
        <v>38</v>
      </c>
      <c r="B17" s="65"/>
      <c r="C17" s="65"/>
      <c r="D17" s="65"/>
      <c r="E17" s="65"/>
      <c r="F17" s="69"/>
      <c r="G17" s="69"/>
      <c r="J17" s="78">
        <f>'2015 Calculator Age 67'!K29</f>
        <v>55</v>
      </c>
      <c r="K17" s="78">
        <f>'2015 Calculator Age 67'!M29</f>
        <v>0</v>
      </c>
      <c r="W17" s="64">
        <f>LOOKUP(J17,'2015 Pension Calculation'!D20:D79,'2015 Pension Calculation'!B20:B79)</f>
        <v>5</v>
      </c>
      <c r="X17" s="68">
        <v>56.333333333333336</v>
      </c>
      <c r="Y17" s="80">
        <v>1</v>
      </c>
      <c r="AA17" s="64">
        <v>0.59499999999999997</v>
      </c>
      <c r="AF17" s="64">
        <v>7</v>
      </c>
      <c r="AG17" s="64">
        <v>12</v>
      </c>
      <c r="AH17" s="68">
        <f t="shared" si="0"/>
        <v>0.58333333333333337</v>
      </c>
      <c r="AL17" s="64">
        <v>56.083333333333336</v>
      </c>
      <c r="AM17" s="64">
        <v>0.58099999999999996</v>
      </c>
      <c r="AP17" s="64">
        <f>AR14+AP14</f>
        <v>55</v>
      </c>
    </row>
    <row r="18" spans="1:42" ht="18.75" x14ac:dyDescent="0.3">
      <c r="A18" s="69"/>
      <c r="B18" s="69"/>
      <c r="C18" s="69"/>
      <c r="D18" s="69"/>
      <c r="E18" s="69"/>
      <c r="F18" s="69"/>
      <c r="G18" s="69"/>
      <c r="J18" s="69"/>
      <c r="K18" s="65"/>
      <c r="X18" s="68">
        <v>56.416666666666664</v>
      </c>
      <c r="Y18" s="80">
        <v>1</v>
      </c>
      <c r="AA18" s="64">
        <v>0.59699999999999998</v>
      </c>
      <c r="AF18" s="64">
        <v>8</v>
      </c>
      <c r="AG18" s="64">
        <v>12</v>
      </c>
      <c r="AH18" s="68">
        <f t="shared" si="0"/>
        <v>0.66666666666666663</v>
      </c>
      <c r="AL18" s="64">
        <v>56.166666666666664</v>
      </c>
      <c r="AM18" s="64">
        <v>0.58299999999999996</v>
      </c>
    </row>
    <row r="19" spans="1:42" ht="18.75" x14ac:dyDescent="0.3">
      <c r="A19" s="65" t="s">
        <v>37</v>
      </c>
      <c r="B19" s="65"/>
      <c r="C19" s="65"/>
      <c r="D19" s="65"/>
      <c r="E19" s="65"/>
      <c r="F19" s="69"/>
      <c r="G19" s="69"/>
      <c r="J19" s="73">
        <f ca="1">LOOKUP(W17,Revaluation!C2:BB2,Revaluation!C58:BC58)</f>
        <v>2270.5012542035247</v>
      </c>
      <c r="K19" s="69"/>
      <c r="X19" s="68">
        <v>56.5</v>
      </c>
      <c r="Y19" s="80">
        <v>1</v>
      </c>
      <c r="AA19" s="64">
        <v>0.59899999999999998</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1</v>
      </c>
      <c r="AA20" s="64">
        <v>0.60099999999999998</v>
      </c>
      <c r="AF20" s="64">
        <v>10</v>
      </c>
      <c r="AG20" s="64">
        <v>12</v>
      </c>
      <c r="AH20" s="68">
        <f t="shared" si="0"/>
        <v>0.83333333333333337</v>
      </c>
      <c r="AL20" s="64">
        <v>56.333333333333336</v>
      </c>
      <c r="AM20" s="64">
        <v>0.58699999999999997</v>
      </c>
    </row>
    <row r="21" spans="1:42" ht="18.75" x14ac:dyDescent="0.3">
      <c r="A21" s="65" t="s">
        <v>22</v>
      </c>
      <c r="B21" s="65"/>
      <c r="C21" s="65"/>
      <c r="D21" s="65"/>
      <c r="F21" s="69"/>
      <c r="G21" s="69"/>
      <c r="J21" s="81">
        <f>LOOKUP(AR14,X1:X157,Y1:Y157)</f>
        <v>1</v>
      </c>
      <c r="K21" s="69"/>
      <c r="T21" s="64">
        <v>56</v>
      </c>
      <c r="U21" s="64">
        <v>0.57799999999999996</v>
      </c>
      <c r="X21" s="68">
        <v>56.666666666666664</v>
      </c>
      <c r="Y21" s="80">
        <v>1</v>
      </c>
      <c r="AA21" s="64">
        <v>0.60399999999999998</v>
      </c>
      <c r="AF21" s="64">
        <v>11</v>
      </c>
      <c r="AG21" s="64">
        <v>12</v>
      </c>
      <c r="AH21" s="68">
        <f t="shared" si="0"/>
        <v>0.91666666666666663</v>
      </c>
      <c r="AL21" s="64">
        <v>56.416666666666664</v>
      </c>
      <c r="AM21" s="64">
        <v>0.58899999999999997</v>
      </c>
    </row>
    <row r="22" spans="1:42" ht="18.75" x14ac:dyDescent="0.3">
      <c r="A22" s="65" t="s">
        <v>35</v>
      </c>
      <c r="B22" s="65"/>
      <c r="C22" s="65"/>
      <c r="D22" s="65"/>
      <c r="F22" s="71"/>
      <c r="G22" s="71"/>
      <c r="J22" s="74">
        <f>SUM(1-J21)</f>
        <v>0</v>
      </c>
      <c r="K22" s="69"/>
      <c r="T22" s="64">
        <v>57</v>
      </c>
      <c r="U22" s="64">
        <v>0.60499999999999998</v>
      </c>
      <c r="X22" s="68">
        <v>56.75</v>
      </c>
      <c r="Y22" s="80">
        <v>1</v>
      </c>
      <c r="AA22" s="64">
        <v>0.60599999999999998</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1</v>
      </c>
      <c r="AA23" s="64">
        <v>0.60799999999999998</v>
      </c>
      <c r="AL23" s="64">
        <v>56.583333333333336</v>
      </c>
      <c r="AM23" s="64">
        <v>0.59399999999999997</v>
      </c>
    </row>
    <row r="24" spans="1:42" ht="18.75" x14ac:dyDescent="0.3">
      <c r="A24" s="65" t="s">
        <v>27</v>
      </c>
      <c r="B24" s="65"/>
      <c r="C24" s="65"/>
      <c r="D24" s="65"/>
      <c r="E24" s="65"/>
      <c r="F24" s="69"/>
      <c r="G24" s="69"/>
      <c r="J24" s="79">
        <f ca="1">J19*J21</f>
        <v>2270.5012542035247</v>
      </c>
      <c r="K24" s="69"/>
      <c r="T24" s="64">
        <v>59</v>
      </c>
      <c r="U24" s="64">
        <v>0.66300000000000003</v>
      </c>
      <c r="X24" s="68">
        <v>56.916666666666664</v>
      </c>
      <c r="Y24" s="80">
        <v>1</v>
      </c>
      <c r="AA24" s="64">
        <v>0.61</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1</v>
      </c>
      <c r="AA25" s="64">
        <v>0.61199999999999999</v>
      </c>
      <c r="AL25" s="64">
        <v>56.75</v>
      </c>
      <c r="AM25" s="64">
        <v>0.59799999999999998</v>
      </c>
    </row>
    <row r="26" spans="1:42" ht="18.75" x14ac:dyDescent="0.3">
      <c r="A26" s="65" t="s">
        <v>28</v>
      </c>
      <c r="B26" s="69"/>
      <c r="C26" s="69"/>
      <c r="D26" s="69"/>
      <c r="E26" s="69"/>
      <c r="F26" s="69"/>
      <c r="G26" s="69"/>
      <c r="J26" s="79">
        <f ca="1">J24/12</f>
        <v>189.20843785029373</v>
      </c>
      <c r="K26" s="69"/>
      <c r="T26" s="64">
        <v>61</v>
      </c>
      <c r="U26" s="64">
        <v>0.73</v>
      </c>
      <c r="X26" s="68">
        <v>57.083333333333336</v>
      </c>
      <c r="Y26" s="80">
        <v>1</v>
      </c>
      <c r="AA26" s="64">
        <v>0.61399999999999999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1</v>
      </c>
      <c r="AA27" s="64">
        <v>0.61699999999999999</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1</v>
      </c>
      <c r="AA28" s="64">
        <v>0.61899999999999999</v>
      </c>
      <c r="AL28" s="64">
        <v>57</v>
      </c>
      <c r="AM28" s="64">
        <v>0.60499999999999998</v>
      </c>
    </row>
    <row r="29" spans="1:42" x14ac:dyDescent="0.25">
      <c r="T29" s="64">
        <v>63</v>
      </c>
      <c r="U29" s="64">
        <v>0.80700000000000005</v>
      </c>
      <c r="X29" s="68">
        <v>57.333333333333336</v>
      </c>
      <c r="Y29" s="80">
        <v>1</v>
      </c>
      <c r="AA29" s="64">
        <v>0.621</v>
      </c>
      <c r="AL29" s="64">
        <v>57.083333333333336</v>
      </c>
      <c r="AM29" s="64">
        <v>0.60699999999999998</v>
      </c>
    </row>
    <row r="30" spans="1:42" x14ac:dyDescent="0.25">
      <c r="T30" s="64">
        <v>65</v>
      </c>
      <c r="U30" s="64">
        <v>0.89600000000000002</v>
      </c>
      <c r="X30" s="68">
        <v>57.416666666666664</v>
      </c>
      <c r="Y30" s="80">
        <v>1</v>
      </c>
      <c r="AA30" s="64">
        <v>0.623</v>
      </c>
      <c r="AL30" s="64">
        <v>57.166666666666664</v>
      </c>
      <c r="AM30" s="64">
        <v>0.61</v>
      </c>
    </row>
    <row r="31" spans="1:42" x14ac:dyDescent="0.25">
      <c r="T31" s="64">
        <v>66</v>
      </c>
      <c r="U31" s="64">
        <v>0.94599999999999995</v>
      </c>
      <c r="X31" s="68">
        <v>57.5</v>
      </c>
      <c r="Y31" s="80">
        <v>1</v>
      </c>
      <c r="AA31" s="64">
        <v>0.626</v>
      </c>
      <c r="AL31" s="64">
        <v>57.25</v>
      </c>
      <c r="AM31" s="64">
        <v>0.61199999999999999</v>
      </c>
    </row>
    <row r="32" spans="1:42" x14ac:dyDescent="0.25">
      <c r="X32" s="68">
        <v>57.583333333333336</v>
      </c>
      <c r="Y32" s="80">
        <v>1</v>
      </c>
      <c r="AA32" s="64">
        <v>0.628</v>
      </c>
      <c r="AL32" s="64">
        <v>57.333333333333336</v>
      </c>
      <c r="AM32" s="64">
        <v>0.61399999999999999</v>
      </c>
    </row>
    <row r="33" spans="24:39" x14ac:dyDescent="0.25">
      <c r="X33" s="68">
        <v>57.666666666666664</v>
      </c>
      <c r="Y33" s="80">
        <v>1</v>
      </c>
      <c r="AA33" s="64">
        <v>0.63</v>
      </c>
      <c r="AL33" s="64">
        <v>57.416666666666664</v>
      </c>
      <c r="AM33" s="64">
        <v>0.61699999999999999</v>
      </c>
    </row>
    <row r="34" spans="24:39" x14ac:dyDescent="0.25">
      <c r="X34" s="68">
        <v>57.75</v>
      </c>
      <c r="Y34" s="80">
        <v>1</v>
      </c>
      <c r="AA34" s="64">
        <v>0.63300000000000001</v>
      </c>
      <c r="AL34" s="64">
        <v>57.5</v>
      </c>
      <c r="AM34" s="64">
        <v>0.61899999999999999</v>
      </c>
    </row>
    <row r="35" spans="24:39" x14ac:dyDescent="0.25">
      <c r="X35" s="68">
        <v>57.833333333333336</v>
      </c>
      <c r="Y35" s="80">
        <v>1</v>
      </c>
      <c r="AA35" s="64">
        <v>0.63500000000000001</v>
      </c>
      <c r="AL35" s="64">
        <v>57.583333333333336</v>
      </c>
      <c r="AM35" s="64">
        <v>0.621</v>
      </c>
    </row>
    <row r="36" spans="24:39" x14ac:dyDescent="0.25">
      <c r="X36" s="68">
        <v>57.916666666666664</v>
      </c>
      <c r="Y36" s="80">
        <v>1</v>
      </c>
      <c r="AA36" s="64">
        <v>0.63700000000000001</v>
      </c>
      <c r="AL36" s="64">
        <v>57.666666666666664</v>
      </c>
      <c r="AM36" s="64">
        <v>0.624</v>
      </c>
    </row>
    <row r="37" spans="24:39" x14ac:dyDescent="0.25">
      <c r="X37" s="68">
        <v>58</v>
      </c>
      <c r="Y37" s="80">
        <v>1</v>
      </c>
      <c r="AA37" s="64">
        <v>0.63900000000000001</v>
      </c>
      <c r="AL37" s="64">
        <v>57.75</v>
      </c>
      <c r="AM37" s="64">
        <v>0.626</v>
      </c>
    </row>
    <row r="38" spans="24:39" x14ac:dyDescent="0.25">
      <c r="X38" s="68">
        <v>58.083333333333336</v>
      </c>
      <c r="Y38" s="80">
        <v>1</v>
      </c>
      <c r="AA38" s="64">
        <v>0.64200000000000002</v>
      </c>
      <c r="AL38" s="64">
        <v>57.833333333333336</v>
      </c>
      <c r="AM38" s="64">
        <v>0.628</v>
      </c>
    </row>
    <row r="39" spans="24:39" x14ac:dyDescent="0.25">
      <c r="X39" s="68">
        <v>58.166666666666664</v>
      </c>
      <c r="Y39" s="80">
        <v>1</v>
      </c>
      <c r="AA39" s="64">
        <v>0.64400000000000002</v>
      </c>
      <c r="AL39" s="64">
        <v>57.916666666666664</v>
      </c>
      <c r="AM39" s="64">
        <v>0.63100000000000001</v>
      </c>
    </row>
    <row r="40" spans="24:39" x14ac:dyDescent="0.25">
      <c r="X40" s="68">
        <v>58.25</v>
      </c>
      <c r="Y40" s="80">
        <v>1</v>
      </c>
      <c r="AA40" s="64">
        <v>0.64700000000000002</v>
      </c>
      <c r="AL40" s="64">
        <v>58</v>
      </c>
      <c r="AM40" s="64">
        <v>0.63300000000000001</v>
      </c>
    </row>
    <row r="41" spans="24:39" x14ac:dyDescent="0.25">
      <c r="X41" s="68">
        <v>58.333333333333336</v>
      </c>
      <c r="Y41" s="80">
        <v>1</v>
      </c>
      <c r="AA41" s="64">
        <v>0.64900000000000002</v>
      </c>
      <c r="AL41" s="64">
        <v>58.083333333333336</v>
      </c>
      <c r="AM41" s="64">
        <v>0.63600000000000001</v>
      </c>
    </row>
    <row r="42" spans="24:39" x14ac:dyDescent="0.25">
      <c r="X42" s="68">
        <v>58.416666666666664</v>
      </c>
      <c r="Y42" s="80">
        <v>1</v>
      </c>
      <c r="AA42" s="64">
        <v>0.65100000000000002</v>
      </c>
      <c r="AL42" s="64">
        <v>58.166666666666664</v>
      </c>
      <c r="AM42" s="64">
        <v>0.63800000000000001</v>
      </c>
    </row>
    <row r="43" spans="24:39" x14ac:dyDescent="0.25">
      <c r="X43" s="68">
        <v>58.5</v>
      </c>
      <c r="Y43" s="80">
        <v>1</v>
      </c>
      <c r="AA43" s="64">
        <v>0.65400000000000003</v>
      </c>
      <c r="AL43" s="64">
        <v>58.25</v>
      </c>
      <c r="AM43" s="64">
        <v>0.64100000000000001</v>
      </c>
    </row>
    <row r="44" spans="24:39" x14ac:dyDescent="0.25">
      <c r="X44" s="68">
        <v>58.583333333333336</v>
      </c>
      <c r="Y44" s="80">
        <v>1</v>
      </c>
      <c r="AA44" s="64">
        <v>0.65600000000000003</v>
      </c>
      <c r="AL44" s="64">
        <v>58.333333333333336</v>
      </c>
      <c r="AM44" s="64">
        <v>0.64300000000000002</v>
      </c>
    </row>
    <row r="45" spans="24:39" x14ac:dyDescent="0.25">
      <c r="X45" s="68">
        <v>58.666666666666664</v>
      </c>
      <c r="Y45" s="80">
        <v>1</v>
      </c>
      <c r="AA45" s="64">
        <v>0.65900000000000003</v>
      </c>
      <c r="AL45" s="64">
        <v>58.416666666666664</v>
      </c>
      <c r="AM45" s="64">
        <v>0.64600000000000002</v>
      </c>
    </row>
    <row r="46" spans="24:39" x14ac:dyDescent="0.25">
      <c r="X46" s="68">
        <v>58.75</v>
      </c>
      <c r="Y46" s="80">
        <v>1</v>
      </c>
      <c r="AA46" s="64">
        <v>0.66100000000000003</v>
      </c>
      <c r="AL46" s="64">
        <v>58.5</v>
      </c>
      <c r="AM46" s="64">
        <v>0.64800000000000002</v>
      </c>
    </row>
    <row r="47" spans="24:39" x14ac:dyDescent="0.25">
      <c r="X47" s="68">
        <v>58.833333333333336</v>
      </c>
      <c r="Y47" s="80">
        <v>1</v>
      </c>
      <c r="AA47" s="64">
        <v>0.66400000000000003</v>
      </c>
      <c r="AL47" s="64">
        <v>58.583333333333336</v>
      </c>
      <c r="AM47" s="64">
        <v>0.65100000000000002</v>
      </c>
    </row>
    <row r="48" spans="24:39" x14ac:dyDescent="0.25">
      <c r="X48" s="68">
        <v>58.916666666666664</v>
      </c>
      <c r="Y48" s="80">
        <v>1</v>
      </c>
      <c r="AA48" s="64">
        <v>0.66600000000000004</v>
      </c>
      <c r="AL48" s="64">
        <v>58.666666666666664</v>
      </c>
      <c r="AM48" s="64">
        <v>0.65300000000000002</v>
      </c>
    </row>
    <row r="49" spans="24:39" x14ac:dyDescent="0.25">
      <c r="X49" s="68">
        <v>59</v>
      </c>
      <c r="Y49" s="80">
        <v>1</v>
      </c>
      <c r="AA49" s="64">
        <v>0.66800000000000004</v>
      </c>
      <c r="AL49" s="64">
        <v>58.75</v>
      </c>
      <c r="AM49" s="64">
        <v>0.65600000000000003</v>
      </c>
    </row>
    <row r="50" spans="24:39" x14ac:dyDescent="0.25">
      <c r="X50" s="68">
        <v>59.083333333333336</v>
      </c>
      <c r="Y50" s="80">
        <v>1</v>
      </c>
      <c r="AA50" s="64">
        <v>0.67100000000000004</v>
      </c>
      <c r="AL50" s="64">
        <v>58.833333333333336</v>
      </c>
      <c r="AM50" s="64">
        <v>0.65800000000000003</v>
      </c>
    </row>
    <row r="51" spans="24:39" x14ac:dyDescent="0.25">
      <c r="X51" s="68">
        <v>59.166666666666664</v>
      </c>
      <c r="Y51" s="80">
        <v>1</v>
      </c>
      <c r="AA51" s="64">
        <v>0.67400000000000004</v>
      </c>
      <c r="AL51" s="64">
        <v>58.916666666666664</v>
      </c>
      <c r="AM51" s="64">
        <v>0.66100000000000003</v>
      </c>
    </row>
    <row r="52" spans="24:39" x14ac:dyDescent="0.25">
      <c r="X52" s="68">
        <v>59.25</v>
      </c>
      <c r="Y52" s="80">
        <v>1</v>
      </c>
      <c r="AA52" s="64">
        <v>0.67600000000000005</v>
      </c>
      <c r="AL52" s="64">
        <v>59</v>
      </c>
      <c r="AM52" s="64">
        <v>0.66300000000000003</v>
      </c>
    </row>
    <row r="53" spans="24:39" x14ac:dyDescent="0.25">
      <c r="X53" s="68">
        <v>59.333333333333336</v>
      </c>
      <c r="Y53" s="80">
        <v>1</v>
      </c>
      <c r="AA53" s="64">
        <v>0.67900000000000005</v>
      </c>
      <c r="AL53" s="64">
        <v>59.083333333333336</v>
      </c>
      <c r="AM53" s="64">
        <v>0.66600000000000004</v>
      </c>
    </row>
    <row r="54" spans="24:39" x14ac:dyDescent="0.25">
      <c r="X54" s="68">
        <v>59.416666666666664</v>
      </c>
      <c r="Y54" s="80">
        <v>1</v>
      </c>
      <c r="AA54" s="64">
        <v>0.68100000000000005</v>
      </c>
      <c r="AL54" s="64">
        <v>59.166666666666664</v>
      </c>
      <c r="AM54" s="64">
        <v>0.66800000000000004</v>
      </c>
    </row>
    <row r="55" spans="24:39" x14ac:dyDescent="0.25">
      <c r="X55" s="68">
        <v>59.5</v>
      </c>
      <c r="Y55" s="80">
        <v>1</v>
      </c>
      <c r="AA55" s="64">
        <v>0.68400000000000005</v>
      </c>
      <c r="AL55" s="64">
        <v>59.25</v>
      </c>
      <c r="AM55" s="64">
        <v>0.67100000000000004</v>
      </c>
    </row>
    <row r="56" spans="24:39" x14ac:dyDescent="0.25">
      <c r="X56" s="68">
        <v>59.583333333333336</v>
      </c>
      <c r="Y56" s="80">
        <v>1</v>
      </c>
      <c r="AA56" s="64">
        <v>0.68700000000000006</v>
      </c>
      <c r="AL56" s="64">
        <v>59.333333333333336</v>
      </c>
      <c r="AM56" s="64">
        <v>0.67400000000000004</v>
      </c>
    </row>
    <row r="57" spans="24:39" x14ac:dyDescent="0.25">
      <c r="X57" s="68">
        <v>59.666666666666664</v>
      </c>
      <c r="Y57" s="80">
        <v>1</v>
      </c>
      <c r="AA57" s="64">
        <v>0.68899999999999995</v>
      </c>
      <c r="AL57" s="64">
        <v>59.416666666666664</v>
      </c>
      <c r="AM57" s="64">
        <v>0.67600000000000005</v>
      </c>
    </row>
    <row r="58" spans="24:39" x14ac:dyDescent="0.25">
      <c r="X58" s="68">
        <v>59.75</v>
      </c>
      <c r="Y58" s="80">
        <v>1</v>
      </c>
      <c r="AA58" s="64">
        <v>0.69199999999999995</v>
      </c>
      <c r="AL58" s="64">
        <v>59.5</v>
      </c>
      <c r="AM58" s="64">
        <v>0.67900000000000005</v>
      </c>
    </row>
    <row r="59" spans="24:39" x14ac:dyDescent="0.25">
      <c r="X59" s="68">
        <v>59.833333333333336</v>
      </c>
      <c r="Y59" s="80">
        <v>1</v>
      </c>
      <c r="AA59" s="64">
        <v>0.69399999999999995</v>
      </c>
      <c r="AL59" s="64">
        <v>59.583333333333336</v>
      </c>
      <c r="AM59" s="64">
        <v>0.68200000000000005</v>
      </c>
    </row>
    <row r="60" spans="24:39" x14ac:dyDescent="0.25">
      <c r="X60" s="68">
        <v>59.916666666666664</v>
      </c>
      <c r="Y60" s="80">
        <v>1</v>
      </c>
      <c r="AA60" s="64">
        <v>0.69699999999999995</v>
      </c>
      <c r="AL60" s="64">
        <v>59.666666666666664</v>
      </c>
      <c r="AM60" s="64">
        <v>0.68500000000000005</v>
      </c>
    </row>
    <row r="61" spans="24:39" x14ac:dyDescent="0.25">
      <c r="X61" s="68">
        <v>60</v>
      </c>
      <c r="Y61" s="80">
        <v>1</v>
      </c>
      <c r="AA61" s="64">
        <v>0.7</v>
      </c>
      <c r="AL61" s="64">
        <v>59.75</v>
      </c>
      <c r="AM61" s="64">
        <v>0.68700000000000006</v>
      </c>
    </row>
    <row r="62" spans="24:39" x14ac:dyDescent="0.25">
      <c r="X62" s="68">
        <v>60.083333333333336</v>
      </c>
      <c r="Y62" s="80">
        <v>1</v>
      </c>
      <c r="AA62" s="64">
        <v>0.70199999999999996</v>
      </c>
      <c r="AL62" s="64">
        <v>59.833333333333336</v>
      </c>
      <c r="AM62" s="64">
        <v>0.69</v>
      </c>
    </row>
    <row r="63" spans="24:39" x14ac:dyDescent="0.25">
      <c r="X63" s="68">
        <v>60.166666666666664</v>
      </c>
      <c r="Y63" s="80">
        <v>1</v>
      </c>
      <c r="AA63" s="64">
        <v>0.70499999999999996</v>
      </c>
      <c r="AL63" s="64">
        <v>59.916666666666664</v>
      </c>
      <c r="AM63" s="64">
        <v>0.69299999999999995</v>
      </c>
    </row>
    <row r="64" spans="24:39" x14ac:dyDescent="0.25">
      <c r="X64" s="68">
        <v>60.25</v>
      </c>
      <c r="Y64" s="80">
        <v>1</v>
      </c>
      <c r="AA64" s="64">
        <v>0.70799999999999996</v>
      </c>
      <c r="AL64" s="64">
        <v>60</v>
      </c>
      <c r="AM64" s="64">
        <v>0.69499999999999995</v>
      </c>
    </row>
    <row r="65" spans="24:39" x14ac:dyDescent="0.25">
      <c r="X65" s="68">
        <v>60.333333333333336</v>
      </c>
      <c r="Y65" s="80">
        <v>1</v>
      </c>
      <c r="AA65" s="64">
        <v>0.71099999999999997</v>
      </c>
      <c r="AL65" s="64">
        <v>60.083333333333336</v>
      </c>
      <c r="AM65" s="64">
        <v>0.69799999999999995</v>
      </c>
    </row>
    <row r="66" spans="24:39" x14ac:dyDescent="0.25">
      <c r="X66" s="68">
        <v>60.416666666666664</v>
      </c>
      <c r="Y66" s="80">
        <v>1</v>
      </c>
      <c r="AA66" s="64">
        <v>0.71399999999999997</v>
      </c>
      <c r="AL66" s="64">
        <v>60.166666666666664</v>
      </c>
      <c r="AM66" s="64">
        <v>0.70099999999999996</v>
      </c>
    </row>
    <row r="67" spans="24:39" x14ac:dyDescent="0.25">
      <c r="X67" s="68">
        <v>60.5</v>
      </c>
      <c r="Y67" s="80">
        <v>1</v>
      </c>
      <c r="AA67" s="64">
        <v>0.71599999999999997</v>
      </c>
      <c r="AL67" s="64">
        <v>60.25</v>
      </c>
      <c r="AM67" s="64">
        <v>0.70399999999999996</v>
      </c>
    </row>
    <row r="68" spans="24:39" x14ac:dyDescent="0.25">
      <c r="X68" s="68">
        <v>60.583333333333336</v>
      </c>
      <c r="Y68" s="80">
        <v>1</v>
      </c>
      <c r="AA68" s="64">
        <v>0.71899999999999997</v>
      </c>
      <c r="AL68" s="64">
        <v>60.333333333333336</v>
      </c>
      <c r="AM68" s="64">
        <v>0.70699999999999996</v>
      </c>
    </row>
    <row r="69" spans="24:39" x14ac:dyDescent="0.25">
      <c r="X69" s="68">
        <v>60.666666666666664</v>
      </c>
      <c r="Y69" s="80">
        <v>1</v>
      </c>
      <c r="AA69" s="64">
        <v>0.72199999999999998</v>
      </c>
      <c r="AL69" s="64">
        <v>60.416666666666664</v>
      </c>
      <c r="AM69" s="64">
        <v>0.71</v>
      </c>
    </row>
    <row r="70" spans="24:39" x14ac:dyDescent="0.25">
      <c r="X70" s="68">
        <v>60.75</v>
      </c>
      <c r="Y70" s="80">
        <v>1</v>
      </c>
      <c r="AA70" s="64">
        <v>0.72499999999999998</v>
      </c>
      <c r="AL70" s="64">
        <v>60.5</v>
      </c>
      <c r="AM70" s="64">
        <v>0.71299999999999997</v>
      </c>
    </row>
    <row r="71" spans="24:39" x14ac:dyDescent="0.25">
      <c r="X71" s="68">
        <v>60.833333333333336</v>
      </c>
      <c r="Y71" s="80">
        <v>1</v>
      </c>
      <c r="AA71" s="64">
        <v>0.72799999999999998</v>
      </c>
      <c r="AL71" s="64">
        <v>60.583333333333336</v>
      </c>
      <c r="AM71" s="64">
        <v>0.71499999999999997</v>
      </c>
    </row>
    <row r="72" spans="24:39" x14ac:dyDescent="0.25">
      <c r="X72" s="68">
        <v>60.916666666666664</v>
      </c>
      <c r="Y72" s="80">
        <v>1</v>
      </c>
      <c r="AA72" s="64">
        <v>0.73</v>
      </c>
      <c r="AL72" s="64">
        <v>60.666666666666664</v>
      </c>
      <c r="AM72" s="64">
        <v>0.71799999999999997</v>
      </c>
    </row>
    <row r="73" spans="24:39" x14ac:dyDescent="0.25">
      <c r="X73" s="68">
        <v>61</v>
      </c>
      <c r="Y73" s="80">
        <v>1</v>
      </c>
      <c r="AA73" s="64">
        <v>0.73299999999999998</v>
      </c>
      <c r="AL73" s="64">
        <v>60.75</v>
      </c>
      <c r="AM73" s="64">
        <v>0.72099999999999997</v>
      </c>
    </row>
    <row r="74" spans="24:39" x14ac:dyDescent="0.25">
      <c r="X74" s="68">
        <v>61.083333333333336</v>
      </c>
      <c r="Y74" s="80">
        <v>1</v>
      </c>
      <c r="AA74" s="64">
        <v>0.73599999999999999</v>
      </c>
      <c r="AL74" s="64">
        <v>60.833333333333336</v>
      </c>
      <c r="AM74" s="64">
        <v>0.72399999999999998</v>
      </c>
    </row>
    <row r="75" spans="24:39" x14ac:dyDescent="0.25">
      <c r="X75" s="68">
        <v>61.166666666666664</v>
      </c>
      <c r="Y75" s="80">
        <v>1</v>
      </c>
      <c r="AA75" s="64">
        <v>0.73899999999999999</v>
      </c>
      <c r="AL75" s="64">
        <v>60.916666666666664</v>
      </c>
      <c r="AM75" s="64">
        <v>0.72699999999999998</v>
      </c>
    </row>
    <row r="76" spans="24:39" x14ac:dyDescent="0.25">
      <c r="X76" s="68">
        <v>61.25</v>
      </c>
      <c r="Y76" s="80">
        <v>1</v>
      </c>
      <c r="AA76" s="64">
        <v>0.74199999999999999</v>
      </c>
      <c r="AL76" s="64">
        <v>61</v>
      </c>
      <c r="AM76" s="64">
        <v>0.73</v>
      </c>
    </row>
    <row r="77" spans="24:39" x14ac:dyDescent="0.25">
      <c r="X77" s="68">
        <v>61.333333333333336</v>
      </c>
      <c r="Y77" s="80">
        <v>1</v>
      </c>
      <c r="AA77" s="64">
        <v>0.745</v>
      </c>
      <c r="AL77" s="64">
        <v>61.083333333333336</v>
      </c>
      <c r="AM77" s="64">
        <v>0.73299999999999998</v>
      </c>
    </row>
    <row r="78" spans="24:39" x14ac:dyDescent="0.25">
      <c r="X78" s="68">
        <v>61.416666666666664</v>
      </c>
      <c r="Y78" s="80">
        <v>1</v>
      </c>
      <c r="AA78" s="64">
        <v>0.748</v>
      </c>
      <c r="AL78" s="64">
        <v>61.166666666666664</v>
      </c>
      <c r="AM78" s="64">
        <v>0.73599999999999999</v>
      </c>
    </row>
    <row r="79" spans="24:39" x14ac:dyDescent="0.25">
      <c r="X79" s="68">
        <v>61.5</v>
      </c>
      <c r="Y79" s="80">
        <v>1</v>
      </c>
      <c r="AA79" s="64">
        <v>0.751</v>
      </c>
      <c r="AL79" s="64">
        <v>61.25</v>
      </c>
      <c r="AM79" s="64">
        <v>0.73899999999999999</v>
      </c>
    </row>
    <row r="80" spans="24:39" x14ac:dyDescent="0.25">
      <c r="X80" s="68">
        <v>61.583333333333336</v>
      </c>
      <c r="Y80" s="80">
        <v>1</v>
      </c>
      <c r="AA80" s="64">
        <v>0.754</v>
      </c>
      <c r="AL80" s="64">
        <v>61.333333333333336</v>
      </c>
      <c r="AM80" s="64">
        <v>0.74199999999999999</v>
      </c>
    </row>
    <row r="81" spans="24:39" x14ac:dyDescent="0.25">
      <c r="X81" s="68">
        <v>61.666666666666664</v>
      </c>
      <c r="Y81" s="80">
        <v>1</v>
      </c>
      <c r="AA81" s="64">
        <v>0.75700000000000001</v>
      </c>
      <c r="AL81" s="64">
        <v>61.416666666666664</v>
      </c>
      <c r="AM81" s="64">
        <v>0.745</v>
      </c>
    </row>
    <row r="82" spans="24:39" x14ac:dyDescent="0.25">
      <c r="X82" s="68">
        <v>61.75</v>
      </c>
      <c r="Y82" s="80">
        <v>1</v>
      </c>
      <c r="AA82" s="64">
        <v>0.76</v>
      </c>
      <c r="AL82" s="64">
        <v>61.5</v>
      </c>
      <c r="AM82" s="64">
        <v>0.748</v>
      </c>
    </row>
    <row r="83" spans="24:39" x14ac:dyDescent="0.25">
      <c r="X83" s="68">
        <v>61.833333333333336</v>
      </c>
      <c r="Y83" s="80">
        <v>1</v>
      </c>
      <c r="AA83" s="64">
        <v>0.76300000000000001</v>
      </c>
      <c r="AL83" s="64">
        <v>61.583333333333336</v>
      </c>
      <c r="AM83" s="64">
        <v>0.751</v>
      </c>
    </row>
    <row r="84" spans="24:39" x14ac:dyDescent="0.25">
      <c r="X84" s="68">
        <v>61.916666666666664</v>
      </c>
      <c r="Y84" s="80">
        <v>1</v>
      </c>
      <c r="AA84" s="64">
        <v>0.76600000000000001</v>
      </c>
      <c r="AL84" s="64">
        <v>61.666666666666664</v>
      </c>
      <c r="AM84" s="64">
        <v>0.754</v>
      </c>
    </row>
    <row r="85" spans="24:39" x14ac:dyDescent="0.25">
      <c r="X85" s="68">
        <v>62</v>
      </c>
      <c r="Y85" s="80">
        <v>1</v>
      </c>
      <c r="AA85" s="64">
        <v>0.76900000000000002</v>
      </c>
      <c r="AL85" s="64">
        <v>61.75</v>
      </c>
      <c r="AM85" s="64">
        <v>0.75700000000000001</v>
      </c>
    </row>
    <row r="86" spans="24:39" x14ac:dyDescent="0.25">
      <c r="X86" s="68">
        <v>62.083333333333336</v>
      </c>
      <c r="Y86" s="80">
        <v>1</v>
      </c>
      <c r="AA86" s="64">
        <v>0.77300000000000002</v>
      </c>
      <c r="AL86" s="64">
        <v>61.833333333333336</v>
      </c>
      <c r="AM86" s="64">
        <v>0.76100000000000001</v>
      </c>
    </row>
    <row r="87" spans="24:39" x14ac:dyDescent="0.25">
      <c r="X87" s="68">
        <v>62.166666666666664</v>
      </c>
      <c r="Y87" s="80">
        <v>1</v>
      </c>
      <c r="AA87" s="64">
        <v>0.77600000000000002</v>
      </c>
      <c r="AL87" s="64">
        <v>61.916666666666664</v>
      </c>
      <c r="AM87" s="64">
        <v>0.76400000000000001</v>
      </c>
    </row>
    <row r="88" spans="24:39" x14ac:dyDescent="0.25">
      <c r="X88" s="68">
        <v>62.25</v>
      </c>
      <c r="Y88" s="80">
        <v>1</v>
      </c>
      <c r="AA88" s="64">
        <v>0.77900000000000003</v>
      </c>
      <c r="AL88" s="64">
        <v>62</v>
      </c>
      <c r="AM88" s="64">
        <v>0.76700000000000002</v>
      </c>
    </row>
    <row r="89" spans="24:39" x14ac:dyDescent="0.25">
      <c r="X89" s="68">
        <v>62.333333333333336</v>
      </c>
      <c r="Y89" s="80">
        <v>1</v>
      </c>
      <c r="AA89" s="64">
        <v>0.78200000000000003</v>
      </c>
      <c r="AL89" s="64">
        <v>62.083333333333336</v>
      </c>
      <c r="AM89" s="64">
        <v>0.77</v>
      </c>
    </row>
    <row r="90" spans="24:39" x14ac:dyDescent="0.25">
      <c r="X90" s="68">
        <v>62.416666666666664</v>
      </c>
      <c r="Y90" s="80">
        <v>1</v>
      </c>
      <c r="AA90" s="64">
        <v>0.78600000000000003</v>
      </c>
      <c r="AL90" s="64">
        <v>62.166666666666664</v>
      </c>
      <c r="AM90" s="64">
        <v>0.77300000000000002</v>
      </c>
    </row>
    <row r="91" spans="24:39" x14ac:dyDescent="0.25">
      <c r="X91" s="68">
        <v>62.5</v>
      </c>
      <c r="Y91" s="80">
        <v>1</v>
      </c>
      <c r="AA91" s="64">
        <v>0.78900000000000003</v>
      </c>
      <c r="AL91" s="64">
        <v>62.25</v>
      </c>
      <c r="AM91" s="64">
        <v>0.77700000000000002</v>
      </c>
    </row>
    <row r="92" spans="24:39" x14ac:dyDescent="0.25">
      <c r="X92" s="68">
        <v>62.583333333333336</v>
      </c>
      <c r="Y92" s="80">
        <v>1</v>
      </c>
      <c r="AA92" s="64">
        <v>0.79200000000000004</v>
      </c>
      <c r="AL92" s="64">
        <v>62.333333333333336</v>
      </c>
      <c r="AM92" s="64">
        <v>0.78</v>
      </c>
    </row>
    <row r="93" spans="24:39" x14ac:dyDescent="0.25">
      <c r="X93" s="68">
        <v>62.666666666666664</v>
      </c>
      <c r="Y93" s="80">
        <v>1</v>
      </c>
      <c r="AA93" s="64">
        <v>0.79500000000000004</v>
      </c>
      <c r="AL93" s="64">
        <v>62.416666666666664</v>
      </c>
      <c r="AM93" s="64">
        <v>0.78300000000000003</v>
      </c>
    </row>
    <row r="94" spans="24:39" x14ac:dyDescent="0.25">
      <c r="X94" s="68">
        <v>62.75</v>
      </c>
      <c r="Y94" s="80">
        <v>1</v>
      </c>
      <c r="AA94" s="64">
        <v>0.79900000000000004</v>
      </c>
      <c r="AL94" s="64">
        <v>62.5</v>
      </c>
      <c r="AM94" s="64">
        <v>0.78700000000000003</v>
      </c>
    </row>
    <row r="95" spans="24:39" x14ac:dyDescent="0.25">
      <c r="X95" s="68">
        <v>62.833333333333336</v>
      </c>
      <c r="Y95" s="80">
        <v>1</v>
      </c>
      <c r="AA95" s="64">
        <v>0.80200000000000005</v>
      </c>
      <c r="AL95" s="64">
        <v>62.583333333333336</v>
      </c>
      <c r="AM95" s="64">
        <v>0.79</v>
      </c>
    </row>
    <row r="96" spans="24:39" x14ac:dyDescent="0.25">
      <c r="X96" s="68">
        <v>62.916666666666664</v>
      </c>
      <c r="Y96" s="80">
        <v>1</v>
      </c>
      <c r="AA96" s="64">
        <v>0.80500000000000005</v>
      </c>
      <c r="AL96" s="64">
        <v>62.666666666666664</v>
      </c>
      <c r="AM96" s="64">
        <v>0.79300000000000004</v>
      </c>
    </row>
    <row r="97" spans="24:39" x14ac:dyDescent="0.25">
      <c r="X97" s="68">
        <v>63</v>
      </c>
      <c r="Y97" s="80">
        <v>1</v>
      </c>
      <c r="AA97" s="64">
        <v>0.80800000000000005</v>
      </c>
      <c r="AL97" s="64">
        <v>62.75</v>
      </c>
      <c r="AM97" s="64">
        <v>0.79700000000000004</v>
      </c>
    </row>
    <row r="98" spans="24:39" x14ac:dyDescent="0.25">
      <c r="X98" s="68">
        <v>63.083333333333336</v>
      </c>
      <c r="Y98" s="80">
        <v>1</v>
      </c>
      <c r="AA98" s="64">
        <v>0.81200000000000006</v>
      </c>
      <c r="AL98" s="64">
        <v>62.833333333333336</v>
      </c>
      <c r="AM98" s="64">
        <v>0.8</v>
      </c>
    </row>
    <row r="99" spans="24:39" x14ac:dyDescent="0.25">
      <c r="X99" s="68">
        <v>63.166666666666664</v>
      </c>
      <c r="Y99" s="80">
        <v>1</v>
      </c>
      <c r="AA99" s="64">
        <v>0.81499999999999995</v>
      </c>
      <c r="AL99" s="64">
        <v>62.916666666666664</v>
      </c>
      <c r="AM99" s="64">
        <v>0.80300000000000005</v>
      </c>
    </row>
    <row r="100" spans="24:39" x14ac:dyDescent="0.25">
      <c r="X100" s="68">
        <v>63.25</v>
      </c>
      <c r="Y100" s="80">
        <v>1</v>
      </c>
      <c r="AA100" s="64">
        <v>0.81899999999999995</v>
      </c>
      <c r="AL100" s="64">
        <v>63</v>
      </c>
      <c r="AM100" s="64">
        <v>0.80700000000000005</v>
      </c>
    </row>
    <row r="101" spans="24:39" x14ac:dyDescent="0.25">
      <c r="X101" s="68">
        <v>63.333333333333336</v>
      </c>
      <c r="Y101" s="80">
        <v>1</v>
      </c>
      <c r="AA101" s="64">
        <v>0.82199999999999995</v>
      </c>
      <c r="AL101" s="64">
        <v>63.083333333333336</v>
      </c>
      <c r="AM101" s="64">
        <v>0.81</v>
      </c>
    </row>
    <row r="102" spans="24:39" x14ac:dyDescent="0.25">
      <c r="X102" s="68">
        <v>63.416666666666664</v>
      </c>
      <c r="Y102" s="80">
        <v>1</v>
      </c>
      <c r="AA102" s="64">
        <v>0.82599999999999996</v>
      </c>
      <c r="AL102" s="64">
        <v>63.166666666666664</v>
      </c>
      <c r="AM102" s="64">
        <v>0.81399999999999995</v>
      </c>
    </row>
    <row r="103" spans="24:39" x14ac:dyDescent="0.25">
      <c r="X103" s="68">
        <v>63.5</v>
      </c>
      <c r="Y103" s="80">
        <v>1</v>
      </c>
      <c r="AA103" s="64">
        <v>0.82899999999999996</v>
      </c>
      <c r="AL103" s="64">
        <v>63.25</v>
      </c>
      <c r="AM103" s="64">
        <v>0.81699999999999995</v>
      </c>
    </row>
    <row r="104" spans="24:39" x14ac:dyDescent="0.25">
      <c r="X104" s="68">
        <v>63.583333333333336</v>
      </c>
      <c r="Y104" s="80">
        <v>1</v>
      </c>
      <c r="AA104" s="64">
        <v>0.83299999999999996</v>
      </c>
      <c r="AL104" s="64">
        <v>63.333333333333336</v>
      </c>
      <c r="AM104" s="64">
        <v>0.82099999999999995</v>
      </c>
    </row>
    <row r="105" spans="24:39" x14ac:dyDescent="0.25">
      <c r="X105" s="68">
        <v>63.666666666666664</v>
      </c>
      <c r="Y105" s="80">
        <v>1</v>
      </c>
      <c r="AA105" s="64">
        <v>0.83599999999999997</v>
      </c>
      <c r="AL105" s="64">
        <v>63.416666666666664</v>
      </c>
      <c r="AM105" s="64">
        <v>0.82399999999999995</v>
      </c>
    </row>
    <row r="106" spans="24:39" x14ac:dyDescent="0.25">
      <c r="X106" s="68">
        <v>63.75</v>
      </c>
      <c r="Y106" s="80">
        <v>1</v>
      </c>
      <c r="AA106" s="64">
        <v>0.84</v>
      </c>
      <c r="AL106" s="64">
        <v>63.5</v>
      </c>
      <c r="AM106" s="64">
        <v>0.82799999999999996</v>
      </c>
    </row>
    <row r="107" spans="24:39" x14ac:dyDescent="0.25">
      <c r="X107" s="68">
        <v>63.833333333333336</v>
      </c>
      <c r="Y107" s="80">
        <v>1</v>
      </c>
      <c r="AA107" s="64">
        <v>0.84299999999999997</v>
      </c>
      <c r="AL107" s="64">
        <v>63.583333333333336</v>
      </c>
      <c r="AM107" s="64">
        <v>0.83199999999999996</v>
      </c>
    </row>
    <row r="108" spans="24:39" x14ac:dyDescent="0.25">
      <c r="X108" s="68">
        <v>63.916666666666664</v>
      </c>
      <c r="Y108" s="80">
        <v>1</v>
      </c>
      <c r="AA108" s="64">
        <v>0.84699999999999998</v>
      </c>
      <c r="AL108" s="64">
        <v>63.666666666666664</v>
      </c>
      <c r="AM108" s="64">
        <v>0.83499999999999996</v>
      </c>
    </row>
    <row r="109" spans="24:39" x14ac:dyDescent="0.25">
      <c r="X109" s="68">
        <v>64</v>
      </c>
      <c r="Y109" s="80">
        <v>1</v>
      </c>
      <c r="AA109" s="64">
        <v>0.85</v>
      </c>
      <c r="AL109" s="64">
        <v>63.75</v>
      </c>
      <c r="AM109" s="64">
        <v>0.83899999999999997</v>
      </c>
    </row>
    <row r="110" spans="24:39" x14ac:dyDescent="0.25">
      <c r="X110" s="68">
        <v>64.083333333333329</v>
      </c>
      <c r="Y110" s="80">
        <v>1</v>
      </c>
      <c r="AA110" s="64">
        <v>0.85399999999999998</v>
      </c>
      <c r="AL110" s="64">
        <v>63.833333333333336</v>
      </c>
      <c r="AM110" s="64">
        <v>0.84199999999999997</v>
      </c>
    </row>
    <row r="111" spans="24:39" x14ac:dyDescent="0.25">
      <c r="X111" s="68">
        <v>64.166666666666671</v>
      </c>
      <c r="Y111" s="80">
        <v>1</v>
      </c>
      <c r="AA111" s="64">
        <v>0.85799999999999998</v>
      </c>
      <c r="AL111" s="64">
        <v>63.916666666666664</v>
      </c>
      <c r="AM111" s="64">
        <v>0.84599999999999997</v>
      </c>
    </row>
    <row r="112" spans="24:39" x14ac:dyDescent="0.25">
      <c r="X112" s="68">
        <v>64.25</v>
      </c>
      <c r="Y112" s="80">
        <v>1</v>
      </c>
      <c r="AA112" s="64">
        <v>0.86199999999999999</v>
      </c>
      <c r="AL112" s="64">
        <v>64</v>
      </c>
      <c r="AM112" s="64">
        <v>0.84899999999999998</v>
      </c>
    </row>
    <row r="113" spans="24:39" x14ac:dyDescent="0.25">
      <c r="X113" s="68">
        <v>64.333333333333329</v>
      </c>
      <c r="Y113" s="80">
        <v>1</v>
      </c>
      <c r="AA113" s="64">
        <v>0.86599999999999999</v>
      </c>
      <c r="AL113" s="64">
        <v>64.083333333333329</v>
      </c>
      <c r="AM113" s="64">
        <v>0.85299999999999998</v>
      </c>
    </row>
    <row r="114" spans="24:39" x14ac:dyDescent="0.25">
      <c r="X114" s="68">
        <v>64.416666666666671</v>
      </c>
      <c r="Y114" s="80">
        <v>1</v>
      </c>
      <c r="AA114" s="64">
        <v>0.86899999999999999</v>
      </c>
      <c r="AL114" s="64">
        <v>64.166666666666671</v>
      </c>
      <c r="AM114" s="64">
        <v>0.85699999999999998</v>
      </c>
    </row>
    <row r="115" spans="24:39" x14ac:dyDescent="0.25">
      <c r="X115" s="68">
        <v>64.5</v>
      </c>
      <c r="Y115" s="80">
        <v>1</v>
      </c>
      <c r="AA115" s="64">
        <v>0.873</v>
      </c>
      <c r="AL115" s="64">
        <v>64.25</v>
      </c>
      <c r="AM115" s="64">
        <v>0.86099999999999999</v>
      </c>
    </row>
    <row r="116" spans="24:39" x14ac:dyDescent="0.25">
      <c r="X116" s="68">
        <v>64.583333333333329</v>
      </c>
      <c r="Y116" s="80">
        <v>1</v>
      </c>
      <c r="AA116" s="64">
        <v>0.877</v>
      </c>
      <c r="AL116" s="64">
        <v>64.333333333333329</v>
      </c>
      <c r="AM116" s="64">
        <v>0.86499999999999999</v>
      </c>
    </row>
    <row r="117" spans="24:39" x14ac:dyDescent="0.25">
      <c r="X117" s="68">
        <v>64.666666666666671</v>
      </c>
      <c r="Y117" s="80">
        <v>1</v>
      </c>
      <c r="AA117" s="64">
        <v>0.88100000000000001</v>
      </c>
      <c r="AL117" s="64">
        <v>64.416666666666671</v>
      </c>
      <c r="AM117" s="64">
        <v>0.86899999999999999</v>
      </c>
    </row>
    <row r="118" spans="24:39" x14ac:dyDescent="0.25">
      <c r="X118" s="68">
        <v>64.75</v>
      </c>
      <c r="Y118" s="80">
        <v>1</v>
      </c>
      <c r="AA118" s="64">
        <v>0.88500000000000001</v>
      </c>
      <c r="AL118" s="64">
        <v>64.5</v>
      </c>
      <c r="AM118" s="64">
        <v>0.873</v>
      </c>
    </row>
    <row r="119" spans="24:39" x14ac:dyDescent="0.25">
      <c r="X119" s="68">
        <v>64.833333333333329</v>
      </c>
      <c r="Y119" s="80">
        <v>1</v>
      </c>
      <c r="AA119" s="64">
        <v>0.88900000000000001</v>
      </c>
      <c r="AL119" s="64">
        <v>64.583333333333329</v>
      </c>
      <c r="AM119" s="64">
        <v>0.876</v>
      </c>
    </row>
    <row r="120" spans="24:39" x14ac:dyDescent="0.25">
      <c r="X120" s="68">
        <v>64.916666666666671</v>
      </c>
      <c r="Y120" s="80">
        <v>1</v>
      </c>
      <c r="AA120" s="64">
        <v>0.89200000000000002</v>
      </c>
      <c r="AL120" s="64">
        <v>64.666666666666671</v>
      </c>
      <c r="AM120" s="64">
        <v>0.88</v>
      </c>
    </row>
    <row r="121" spans="24:39" x14ac:dyDescent="0.25">
      <c r="X121" s="68">
        <v>65</v>
      </c>
      <c r="Y121" s="80">
        <v>1</v>
      </c>
      <c r="AA121" s="64">
        <v>0.89600000000000002</v>
      </c>
      <c r="AL121" s="64">
        <v>64.75</v>
      </c>
      <c r="AM121" s="64">
        <v>0.88400000000000001</v>
      </c>
    </row>
    <row r="122" spans="24:39" x14ac:dyDescent="0.25">
      <c r="X122" s="68">
        <v>65.0833333333333</v>
      </c>
      <c r="Y122" s="80">
        <v>1</v>
      </c>
      <c r="AA122" s="64">
        <v>0.9</v>
      </c>
      <c r="AL122" s="64">
        <v>64.833333333333329</v>
      </c>
      <c r="AM122" s="64">
        <v>0.88800000000000001</v>
      </c>
    </row>
    <row r="123" spans="24:39" x14ac:dyDescent="0.25">
      <c r="X123" s="68">
        <v>65.1666666666667</v>
      </c>
      <c r="Y123" s="80">
        <v>1</v>
      </c>
      <c r="AA123" s="64">
        <v>0.90400000000000003</v>
      </c>
      <c r="AL123" s="64">
        <v>64.916666666666671</v>
      </c>
      <c r="AM123" s="64">
        <v>0.89200000000000002</v>
      </c>
    </row>
    <row r="124" spans="24:39" x14ac:dyDescent="0.25">
      <c r="X124" s="68">
        <v>65.25</v>
      </c>
      <c r="Y124" s="80">
        <v>1</v>
      </c>
      <c r="AA124" s="64">
        <v>0.90900000000000003</v>
      </c>
      <c r="AL124" s="64">
        <v>65</v>
      </c>
      <c r="AM124" s="64">
        <v>0.89600000000000002</v>
      </c>
    </row>
    <row r="125" spans="24:39" x14ac:dyDescent="0.25">
      <c r="X125" s="68">
        <v>65.3333333333333</v>
      </c>
      <c r="Y125" s="80">
        <v>1</v>
      </c>
      <c r="AA125" s="64">
        <v>0.91300000000000003</v>
      </c>
      <c r="AL125" s="64">
        <v>65.0833333333333</v>
      </c>
      <c r="AM125" s="64">
        <v>0.9</v>
      </c>
    </row>
    <row r="126" spans="24:39" x14ac:dyDescent="0.25">
      <c r="X126" s="68">
        <v>65.4166666666667</v>
      </c>
      <c r="Y126" s="80">
        <v>1</v>
      </c>
      <c r="AA126" s="64">
        <v>0.91700000000000004</v>
      </c>
      <c r="AL126" s="64">
        <v>65.1666666666667</v>
      </c>
      <c r="AM126" s="64">
        <v>0.90400000000000003</v>
      </c>
    </row>
    <row r="127" spans="24:39" x14ac:dyDescent="0.25">
      <c r="X127" s="68">
        <v>65.5</v>
      </c>
      <c r="Y127" s="80">
        <v>1</v>
      </c>
      <c r="AA127" s="64">
        <v>0.92100000000000004</v>
      </c>
      <c r="AL127" s="64">
        <v>65.25</v>
      </c>
      <c r="AM127" s="64">
        <v>0.90800000000000003</v>
      </c>
    </row>
    <row r="128" spans="24:39" x14ac:dyDescent="0.25">
      <c r="X128" s="68">
        <v>65.5833333333333</v>
      </c>
      <c r="Y128" s="80">
        <v>1</v>
      </c>
      <c r="AA128" s="64">
        <v>0.92500000000000004</v>
      </c>
      <c r="AL128" s="64">
        <v>65.3333333333333</v>
      </c>
      <c r="AM128" s="64">
        <v>0.91200000000000003</v>
      </c>
    </row>
    <row r="129" spans="24:39" x14ac:dyDescent="0.25">
      <c r="X129" s="68">
        <v>65.6666666666667</v>
      </c>
      <c r="Y129" s="80">
        <v>1</v>
      </c>
      <c r="AA129" s="64">
        <v>0.92900000000000005</v>
      </c>
      <c r="AL129" s="64">
        <v>65.4166666666667</v>
      </c>
      <c r="AM129" s="64">
        <v>0.91700000000000004</v>
      </c>
    </row>
    <row r="130" spans="24:39" x14ac:dyDescent="0.25">
      <c r="X130" s="68">
        <v>65.75</v>
      </c>
      <c r="Y130" s="80">
        <v>1</v>
      </c>
      <c r="AA130" s="64">
        <v>0.93300000000000005</v>
      </c>
      <c r="AL130" s="64">
        <v>65.5</v>
      </c>
      <c r="AM130" s="64">
        <v>0.92100000000000004</v>
      </c>
    </row>
    <row r="131" spans="24:39" x14ac:dyDescent="0.25">
      <c r="X131" s="68">
        <v>65.8333333333333</v>
      </c>
      <c r="Y131" s="80">
        <v>1</v>
      </c>
      <c r="AA131" s="64">
        <v>0.93799999999999994</v>
      </c>
      <c r="AL131" s="64">
        <v>65.5833333333333</v>
      </c>
      <c r="AM131" s="64">
        <v>0.92500000000000004</v>
      </c>
    </row>
    <row r="132" spans="24:39" x14ac:dyDescent="0.25">
      <c r="X132" s="68">
        <v>65.9166666666667</v>
      </c>
      <c r="Y132" s="80">
        <v>1</v>
      </c>
      <c r="AA132" s="64">
        <v>0.94199999999999995</v>
      </c>
      <c r="AL132" s="64">
        <v>65.6666666666667</v>
      </c>
      <c r="AM132" s="64">
        <v>0.92900000000000005</v>
      </c>
    </row>
    <row r="133" spans="24:39" x14ac:dyDescent="0.25">
      <c r="X133" s="68">
        <v>66</v>
      </c>
      <c r="Y133" s="80">
        <v>1</v>
      </c>
      <c r="AA133" s="64">
        <v>0.94599999999999995</v>
      </c>
      <c r="AL133" s="64">
        <v>65.75</v>
      </c>
      <c r="AM133" s="64">
        <v>0.93300000000000005</v>
      </c>
    </row>
    <row r="134" spans="24:39" x14ac:dyDescent="0.25">
      <c r="X134" s="68">
        <v>66.0833333333333</v>
      </c>
      <c r="Y134" s="80">
        <v>1</v>
      </c>
      <c r="AA134" s="64">
        <v>0.95</v>
      </c>
      <c r="AL134" s="64">
        <v>65.8333333333333</v>
      </c>
      <c r="AM134" s="64">
        <v>0.93700000000000006</v>
      </c>
    </row>
    <row r="135" spans="24:39" x14ac:dyDescent="0.25">
      <c r="X135" s="68">
        <v>66.1666666666667</v>
      </c>
      <c r="Y135" s="80">
        <v>1</v>
      </c>
      <c r="AA135" s="64">
        <v>0.95499999999999996</v>
      </c>
      <c r="AL135" s="64">
        <v>65.9166666666667</v>
      </c>
      <c r="AM135" s="64">
        <v>0.94199999999999995</v>
      </c>
    </row>
    <row r="136" spans="24:39" x14ac:dyDescent="0.25">
      <c r="X136" s="68">
        <v>66.25</v>
      </c>
      <c r="Y136" s="80">
        <v>1</v>
      </c>
      <c r="AA136" s="64">
        <v>0.95899999999999996</v>
      </c>
      <c r="AL136" s="64">
        <v>66</v>
      </c>
      <c r="AM136" s="64">
        <v>0.94599999999999995</v>
      </c>
    </row>
    <row r="137" spans="24:39" x14ac:dyDescent="0.25">
      <c r="X137" s="68">
        <v>66.3333333333333</v>
      </c>
      <c r="Y137" s="80">
        <v>1</v>
      </c>
      <c r="AA137" s="64">
        <v>0.96399999999999997</v>
      </c>
      <c r="AL137" s="64">
        <v>66.0833333333333</v>
      </c>
      <c r="AM137" s="64">
        <v>0.95</v>
      </c>
    </row>
    <row r="138" spans="24:39" x14ac:dyDescent="0.25">
      <c r="X138" s="68">
        <v>66.4166666666667</v>
      </c>
      <c r="Y138" s="80">
        <v>1</v>
      </c>
      <c r="AA138" s="64">
        <v>0.96799999999999997</v>
      </c>
      <c r="AL138" s="64">
        <v>66.166666666666671</v>
      </c>
      <c r="AM138" s="64">
        <v>0.95499999999999996</v>
      </c>
    </row>
    <row r="139" spans="24:39" x14ac:dyDescent="0.25">
      <c r="X139" s="68">
        <v>66.5</v>
      </c>
      <c r="Y139" s="80">
        <v>1</v>
      </c>
      <c r="AA139" s="64">
        <v>0.97299999999999998</v>
      </c>
      <c r="AL139" s="64">
        <v>66.25</v>
      </c>
      <c r="AM139" s="64">
        <v>0.95899999999999996</v>
      </c>
    </row>
    <row r="140" spans="24:39" x14ac:dyDescent="0.25">
      <c r="X140" s="68">
        <v>66.5833333333333</v>
      </c>
      <c r="Y140" s="80">
        <v>1</v>
      </c>
      <c r="AA140" s="64">
        <v>0.97699999999999998</v>
      </c>
      <c r="AL140" s="64">
        <v>66.3333333333333</v>
      </c>
      <c r="AM140" s="64">
        <v>0.96399999999999997</v>
      </c>
    </row>
    <row r="141" spans="24:39" x14ac:dyDescent="0.25">
      <c r="X141" s="68">
        <v>66.6666666666667</v>
      </c>
      <c r="Y141" s="80">
        <v>1</v>
      </c>
      <c r="AA141" s="64">
        <v>0.98199999999999998</v>
      </c>
      <c r="AL141" s="64">
        <v>66.4166666666667</v>
      </c>
      <c r="AM141" s="64">
        <v>0.96799999999999997</v>
      </c>
    </row>
    <row r="142" spans="24:39" x14ac:dyDescent="0.25">
      <c r="X142" s="68">
        <v>66.75</v>
      </c>
      <c r="Y142" s="80">
        <v>1</v>
      </c>
      <c r="AA142" s="64">
        <v>0.98599999999999999</v>
      </c>
      <c r="AL142" s="64">
        <v>66.5</v>
      </c>
      <c r="AM142" s="64">
        <v>0.97299999999999998</v>
      </c>
    </row>
    <row r="143" spans="24:39" x14ac:dyDescent="0.25">
      <c r="X143" s="68">
        <v>66.8333333333333</v>
      </c>
      <c r="Y143" s="80">
        <v>1</v>
      </c>
      <c r="AA143" s="64">
        <v>0.99099999999999999</v>
      </c>
      <c r="AL143" s="64">
        <v>66.5833333333333</v>
      </c>
      <c r="AM143" s="64">
        <v>0.97699999999999998</v>
      </c>
    </row>
    <row r="144" spans="24:39" x14ac:dyDescent="0.25">
      <c r="X144" s="68">
        <v>66.9166666666667</v>
      </c>
      <c r="Y144" s="80">
        <v>1</v>
      </c>
      <c r="AA144" s="64">
        <v>0.995</v>
      </c>
      <c r="AL144" s="64">
        <v>66.6666666666667</v>
      </c>
      <c r="AM144" s="64">
        <v>0.98199999999999998</v>
      </c>
    </row>
    <row r="145" spans="24:39" x14ac:dyDescent="0.25">
      <c r="X145" s="68">
        <v>67</v>
      </c>
      <c r="Y145" s="80">
        <v>1</v>
      </c>
      <c r="AA145" s="64">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4"/>
  <sheetViews>
    <sheetView showGridLines="0" topLeftCell="A16" zoomScaleNormal="100" workbookViewId="0">
      <selection activeCell="K20" sqref="K20"/>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74</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65</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66</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75</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62</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64</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67</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63</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69</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78</v>
      </c>
      <c r="S12" s="120"/>
      <c r="T12" s="104"/>
      <c r="U12" s="104"/>
      <c r="V12" s="104"/>
      <c r="W12" s="104"/>
      <c r="X12" s="104"/>
    </row>
    <row r="13" spans="1:24" ht="18.75" x14ac:dyDescent="0.3">
      <c r="A13" s="121" t="s">
        <v>76</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72</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73</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77</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70</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57</v>
      </c>
      <c r="C19" s="100"/>
      <c r="D19" s="100"/>
      <c r="E19" s="100"/>
      <c r="F19" s="100"/>
      <c r="G19" s="101"/>
      <c r="H19" s="102"/>
      <c r="I19" s="102"/>
      <c r="J19" s="102"/>
      <c r="K19" s="148">
        <f>'FPS &amp; 2015 Scheme'!M25+1</f>
        <v>51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55</v>
      </c>
      <c r="C21" s="100"/>
      <c r="D21" s="100"/>
      <c r="E21" s="100"/>
      <c r="F21" s="100"/>
      <c r="G21" s="101"/>
      <c r="H21" s="102"/>
      <c r="I21" s="102"/>
      <c r="J21" s="102"/>
      <c r="K21" s="149">
        <f>'FPS &amp; 2015 Scheme'!M27</f>
        <v>28000</v>
      </c>
      <c r="L21" s="100" t="s">
        <v>56</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58</v>
      </c>
      <c r="C23" s="100"/>
      <c r="D23" s="100"/>
      <c r="E23" s="100"/>
      <c r="F23" s="100"/>
      <c r="G23" s="101"/>
      <c r="H23" s="102"/>
      <c r="I23" s="102"/>
      <c r="J23" s="102"/>
      <c r="K23" s="150">
        <f>SUM('2015 Pension Calculation'!G20:G72)</f>
        <v>8979.3728166410074</v>
      </c>
      <c r="L23" s="100" t="s">
        <v>56</v>
      </c>
      <c r="M23" s="103"/>
      <c r="N23" s="103"/>
      <c r="O23" s="102"/>
      <c r="P23" s="100" t="s">
        <v>68</v>
      </c>
      <c r="Q23" s="103"/>
      <c r="R23" s="151">
        <f>(K23*20)/1030000</f>
        <v>0.17435675372118462</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71</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50</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31</v>
      </c>
      <c r="L28" s="135"/>
      <c r="M28" s="135" t="s">
        <v>32</v>
      </c>
      <c r="N28" s="135"/>
      <c r="O28" s="137"/>
      <c r="P28" s="137"/>
      <c r="Q28" s="137"/>
      <c r="R28" s="137"/>
      <c r="S28" s="138"/>
      <c r="T28" s="104"/>
      <c r="U28" s="104"/>
      <c r="V28" s="104"/>
      <c r="W28" s="104"/>
      <c r="X28" s="105"/>
    </row>
    <row r="29" spans="1:24" ht="27.75" thickTop="1" thickBot="1" x14ac:dyDescent="0.45">
      <c r="A29" s="134"/>
      <c r="B29" s="135" t="s">
        <v>54</v>
      </c>
      <c r="C29" s="135"/>
      <c r="D29" s="135"/>
      <c r="E29" s="135"/>
      <c r="F29" s="135"/>
      <c r="G29" s="137"/>
      <c r="H29" s="137"/>
      <c r="I29" s="137"/>
      <c r="J29" s="137"/>
      <c r="K29" s="148">
        <f>'FPS &amp; 2015 Scheme'!M30</f>
        <v>55</v>
      </c>
      <c r="L29" s="139"/>
      <c r="M29" s="148">
        <f>'FPS &amp; 2015 Scheme'!N30</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51</v>
      </c>
      <c r="C32" s="136"/>
      <c r="D32" s="136"/>
      <c r="E32" s="136"/>
      <c r="F32" s="136"/>
      <c r="G32" s="136"/>
      <c r="H32" s="137"/>
      <c r="I32" s="137"/>
      <c r="J32" s="137"/>
      <c r="K32" s="152">
        <f ca="1">'2015 VER Calculator '!J19</f>
        <v>2270.5012542035247</v>
      </c>
      <c r="L32" s="135" t="s">
        <v>56</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53</v>
      </c>
      <c r="C34" s="135"/>
      <c r="D34" s="135"/>
      <c r="E34" s="135"/>
      <c r="F34" s="135"/>
      <c r="G34" s="136"/>
      <c r="H34" s="137"/>
      <c r="I34" s="137"/>
      <c r="J34" s="137"/>
      <c r="K34" s="153">
        <f>'2015 VER Calculator '!J22</f>
        <v>0</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52</v>
      </c>
      <c r="C36" s="135"/>
      <c r="D36" s="135"/>
      <c r="E36" s="135"/>
      <c r="F36" s="135"/>
      <c r="G36" s="136"/>
      <c r="H36" s="137"/>
      <c r="I36" s="137"/>
      <c r="J36" s="137"/>
      <c r="K36" s="154">
        <f ca="1">'2015 VER Calculator '!J24</f>
        <v>2270.5012542035247</v>
      </c>
      <c r="L36" s="135" t="s">
        <v>56</v>
      </c>
      <c r="M36" s="139"/>
      <c r="N36" s="139"/>
      <c r="O36" s="139"/>
      <c r="P36" s="135" t="s">
        <v>68</v>
      </c>
      <c r="Q36" s="139"/>
      <c r="R36" s="151">
        <f ca="1">(K36*20)/1030000</f>
        <v>4.4087402994243199E-2</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N311"/>
  <sheetViews>
    <sheetView tabSelected="1" topLeftCell="A21" zoomScale="90" zoomScaleNormal="90" workbookViewId="0">
      <selection activeCell="B32" sqref="B32"/>
    </sheetView>
  </sheetViews>
  <sheetFormatPr defaultRowHeight="15" x14ac:dyDescent="0.25"/>
  <cols>
    <col min="1" max="1" width="2.28515625" style="192" customWidth="1"/>
    <col min="2" max="3" width="9.140625" style="17"/>
    <col min="4" max="4" width="19.42578125" style="17" customWidth="1"/>
    <col min="5" max="5" width="16.7109375" style="17" customWidth="1"/>
    <col min="6" max="6" width="9.140625" style="17"/>
    <col min="7" max="7" width="17.42578125" style="17" customWidth="1"/>
    <col min="8" max="8" width="19" style="17" customWidth="1"/>
    <col min="9" max="9" width="19.5703125" style="17" customWidth="1"/>
    <col min="10" max="10" width="9.140625" style="17"/>
    <col min="11" max="11" width="19.5703125" style="17" customWidth="1"/>
    <col min="12" max="12" width="16" style="17" customWidth="1"/>
    <col min="13" max="13" width="16.42578125" style="17" customWidth="1"/>
    <col min="14" max="14" width="19.28515625" style="17" customWidth="1"/>
    <col min="15" max="15" width="18" style="17" customWidth="1"/>
    <col min="16" max="16" width="7" style="31" hidden="1" customWidth="1"/>
    <col min="17" max="17" width="8.5703125" style="31" hidden="1" customWidth="1"/>
    <col min="18" max="18" width="9.7109375" style="31" hidden="1" customWidth="1"/>
    <col min="19" max="19" width="8.28515625" style="31" hidden="1" customWidth="1"/>
    <col min="20" max="20" width="10.85546875" style="31" hidden="1" customWidth="1"/>
    <col min="21" max="21" width="9.7109375" style="31" hidden="1" customWidth="1"/>
    <col min="22" max="22" width="12.140625" style="31" hidden="1" customWidth="1"/>
    <col min="23" max="23" width="10" style="31" hidden="1" customWidth="1"/>
    <col min="24" max="24" width="9.85546875" style="31" hidden="1" customWidth="1"/>
    <col min="25" max="25" width="11.5703125" style="31" hidden="1" customWidth="1"/>
    <col min="26" max="26" width="8" style="31" hidden="1" customWidth="1"/>
    <col min="27" max="27" width="10.140625" style="31" hidden="1" customWidth="1"/>
    <col min="28" max="28" width="8.5703125" style="31" hidden="1" customWidth="1"/>
    <col min="29" max="29" width="7.42578125" style="31" hidden="1" customWidth="1"/>
    <col min="30" max="30" width="6.85546875" style="31" hidden="1" customWidth="1"/>
    <col min="31" max="31" width="6.5703125" style="31" hidden="1" customWidth="1"/>
    <col min="32" max="32" width="10.5703125" style="31" hidden="1" customWidth="1"/>
    <col min="33" max="33" width="10.140625" style="31" hidden="1" customWidth="1"/>
    <col min="34" max="34" width="6.28515625" style="31" hidden="1" customWidth="1"/>
    <col min="35" max="35" width="7.7109375" style="31" hidden="1" customWidth="1"/>
    <col min="36" max="36" width="8.7109375" style="31" hidden="1" customWidth="1"/>
    <col min="37" max="37" width="9" style="31" hidden="1" customWidth="1"/>
    <col min="38" max="38" width="7.5703125" style="31" hidden="1" customWidth="1"/>
    <col min="39" max="39" width="8.28515625" style="31" hidden="1" customWidth="1"/>
    <col min="40" max="40" width="8.140625" style="31" hidden="1" customWidth="1"/>
    <col min="41" max="41" width="4.140625" style="31" hidden="1" customWidth="1"/>
    <col min="42" max="42" width="4.5703125" style="31" hidden="1" customWidth="1"/>
    <col min="43" max="43" width="5.28515625" style="31" hidden="1" customWidth="1"/>
    <col min="44" max="44" width="8.28515625" style="31" hidden="1" customWidth="1"/>
    <col min="45" max="45" width="9" style="31" hidden="1" customWidth="1"/>
    <col min="46" max="46" width="12.7109375" style="31" hidden="1" customWidth="1"/>
    <col min="47" max="47" width="8.42578125" style="31" hidden="1" customWidth="1"/>
    <col min="48" max="48" width="10.7109375" style="31" hidden="1" customWidth="1"/>
    <col min="49" max="49" width="11" style="31" hidden="1" customWidth="1"/>
    <col min="50" max="50" width="8.28515625" style="31" hidden="1" customWidth="1"/>
    <col min="51" max="51" width="7.5703125" style="31" hidden="1" customWidth="1"/>
    <col min="52" max="52" width="8.85546875" style="31" hidden="1" customWidth="1"/>
    <col min="53" max="53" width="10.42578125" style="31" hidden="1" customWidth="1"/>
    <col min="54" max="54" width="12.85546875" style="31" hidden="1" customWidth="1"/>
    <col min="55" max="55" width="13.140625" style="31" hidden="1" customWidth="1"/>
    <col min="56" max="56" width="12.28515625" style="31" hidden="1" customWidth="1"/>
    <col min="57" max="57" width="0.5703125" style="31" hidden="1" customWidth="1"/>
    <col min="58" max="58" width="16.85546875" style="31" hidden="1" customWidth="1"/>
    <col min="59" max="59" width="13.28515625" style="31" hidden="1" customWidth="1"/>
    <col min="60" max="60" width="13.42578125" style="31" hidden="1" customWidth="1"/>
    <col min="61" max="61" width="9.7109375" style="31" hidden="1" customWidth="1"/>
    <col min="62" max="62" width="8" style="31" hidden="1" customWidth="1"/>
    <col min="63" max="63" width="7.140625" style="31" hidden="1" customWidth="1"/>
    <col min="64" max="64" width="7.5703125" style="31" hidden="1" customWidth="1"/>
    <col min="65" max="65" width="8.28515625" style="31" hidden="1" customWidth="1"/>
    <col min="66" max="66" width="8.7109375" style="31" hidden="1" customWidth="1"/>
    <col min="67" max="67" width="14.85546875" style="31" hidden="1" customWidth="1"/>
    <col min="68" max="68" width="21" style="31" hidden="1" customWidth="1"/>
    <col min="69" max="69" width="30.28515625" style="192" hidden="1" customWidth="1"/>
    <col min="70" max="70" width="0.140625" style="192" hidden="1" customWidth="1"/>
    <col min="71" max="73" width="9.140625" style="192" hidden="1" customWidth="1"/>
    <col min="74" max="92" width="9.140625" style="192"/>
    <col min="93" max="16384" width="9.140625" style="31"/>
  </cols>
  <sheetData>
    <row r="1" spans="2:73" ht="24" thickTop="1" x14ac:dyDescent="0.35">
      <c r="B1" s="190" t="s">
        <v>133</v>
      </c>
      <c r="C1" s="191"/>
      <c r="D1" s="191"/>
      <c r="E1" s="191"/>
      <c r="F1" s="191"/>
      <c r="G1" s="191"/>
      <c r="H1" s="191"/>
      <c r="I1" s="191"/>
      <c r="J1" s="191"/>
      <c r="K1" s="191"/>
      <c r="L1" s="160"/>
      <c r="M1" s="160"/>
      <c r="N1" s="160"/>
      <c r="O1" s="161"/>
      <c r="BF1" s="31" t="s">
        <v>79</v>
      </c>
      <c r="BG1" s="31" t="s">
        <v>80</v>
      </c>
    </row>
    <row r="2" spans="2:73" ht="18.75" x14ac:dyDescent="0.3">
      <c r="B2" s="162" t="s">
        <v>81</v>
      </c>
      <c r="C2" s="140"/>
      <c r="D2" s="140"/>
      <c r="E2" s="140"/>
      <c r="F2" s="140"/>
      <c r="G2" s="140"/>
      <c r="H2" s="140"/>
      <c r="I2" s="140"/>
      <c r="J2" s="140"/>
      <c r="K2" s="140"/>
      <c r="L2" s="140"/>
      <c r="M2" s="140"/>
      <c r="N2" s="123"/>
      <c r="O2" s="163"/>
    </row>
    <row r="3" spans="2:73" ht="18.75" x14ac:dyDescent="0.3">
      <c r="B3" s="162" t="s">
        <v>128</v>
      </c>
      <c r="C3" s="140"/>
      <c r="D3" s="140"/>
      <c r="E3" s="140"/>
      <c r="F3" s="140"/>
      <c r="G3" s="140"/>
      <c r="H3" s="140"/>
      <c r="I3" s="140"/>
      <c r="J3" s="140"/>
      <c r="K3" s="140"/>
      <c r="L3" s="140"/>
      <c r="M3" s="140"/>
      <c r="N3" s="123"/>
      <c r="O3" s="163"/>
    </row>
    <row r="4" spans="2:73" ht="18.75" x14ac:dyDescent="0.3">
      <c r="B4" s="162" t="s">
        <v>129</v>
      </c>
      <c r="C4" s="140"/>
      <c r="D4" s="140"/>
      <c r="E4" s="140"/>
      <c r="F4" s="140"/>
      <c r="G4" s="140"/>
      <c r="H4" s="140"/>
      <c r="I4" s="140"/>
      <c r="J4" s="140"/>
      <c r="K4" s="140"/>
      <c r="L4" s="140"/>
      <c r="M4" s="140"/>
      <c r="N4" s="123"/>
      <c r="O4" s="163"/>
    </row>
    <row r="5" spans="2:73" ht="18.75" x14ac:dyDescent="0.3">
      <c r="B5" s="162" t="s">
        <v>130</v>
      </c>
      <c r="C5" s="140"/>
      <c r="D5" s="140"/>
      <c r="E5" s="140"/>
      <c r="F5" s="140"/>
      <c r="G5" s="140"/>
      <c r="H5" s="140"/>
      <c r="I5" s="140"/>
      <c r="J5" s="140"/>
      <c r="K5" s="140"/>
      <c r="L5" s="140"/>
      <c r="M5" s="140"/>
      <c r="N5" s="123"/>
      <c r="O5" s="163"/>
    </row>
    <row r="6" spans="2:73" ht="18.75" x14ac:dyDescent="0.3">
      <c r="B6" s="162" t="s">
        <v>131</v>
      </c>
      <c r="C6" s="140"/>
      <c r="D6" s="140"/>
      <c r="E6" s="140"/>
      <c r="F6" s="140"/>
      <c r="G6" s="140"/>
      <c r="H6" s="140"/>
      <c r="I6" s="140"/>
      <c r="J6" s="140"/>
      <c r="K6" s="140"/>
      <c r="L6" s="140"/>
      <c r="M6" s="140"/>
      <c r="N6" s="123"/>
      <c r="O6" s="163"/>
    </row>
    <row r="7" spans="2:73" ht="18.75" x14ac:dyDescent="0.3">
      <c r="B7" s="162" t="s">
        <v>134</v>
      </c>
      <c r="C7" s="140"/>
      <c r="D7" s="140"/>
      <c r="E7" s="140"/>
      <c r="F7" s="140"/>
      <c r="G7" s="140"/>
      <c r="H7" s="140"/>
      <c r="I7" s="140"/>
      <c r="J7" s="140"/>
      <c r="K7" s="140"/>
      <c r="L7" s="140"/>
      <c r="M7" s="140"/>
      <c r="N7" s="123"/>
      <c r="O7" s="163"/>
    </row>
    <row r="8" spans="2:73" ht="18.75" x14ac:dyDescent="0.3">
      <c r="B8" s="188" t="s">
        <v>135</v>
      </c>
      <c r="C8" s="140"/>
      <c r="D8" s="140"/>
      <c r="E8" s="140"/>
      <c r="F8" s="140"/>
      <c r="G8" s="140"/>
      <c r="H8" s="140"/>
      <c r="I8" s="140"/>
      <c r="J8" s="140"/>
      <c r="K8" s="140"/>
      <c r="L8" s="140"/>
      <c r="M8" s="140"/>
      <c r="N8" s="123"/>
      <c r="O8" s="163"/>
    </row>
    <row r="9" spans="2:73" ht="18.75" customHeight="1" x14ac:dyDescent="0.3">
      <c r="B9" s="162" t="s">
        <v>126</v>
      </c>
      <c r="C9" s="140"/>
      <c r="D9" s="140"/>
      <c r="E9" s="140"/>
      <c r="F9" s="140"/>
      <c r="G9" s="140"/>
      <c r="H9" s="140"/>
      <c r="I9" s="140"/>
      <c r="J9" s="140"/>
      <c r="K9" s="140"/>
      <c r="L9" s="140"/>
      <c r="M9" s="140"/>
      <c r="N9" s="123"/>
      <c r="O9" s="163"/>
    </row>
    <row r="10" spans="2:73" ht="19.5" thickBot="1" x14ac:dyDescent="0.35">
      <c r="B10" s="200" t="s">
        <v>165</v>
      </c>
      <c r="M10" s="164"/>
      <c r="N10" s="165"/>
      <c r="O10" s="166"/>
      <c r="S10" s="31" t="s">
        <v>82</v>
      </c>
      <c r="BU10" s="192" t="s">
        <v>166</v>
      </c>
    </row>
    <row r="11" spans="2:73" ht="15.75" thickTop="1" x14ac:dyDescent="0.25">
      <c r="B11" s="184"/>
      <c r="C11" s="160"/>
      <c r="D11" s="160"/>
      <c r="E11" s="160"/>
      <c r="F11" s="160"/>
      <c r="G11" s="160"/>
      <c r="H11" s="160"/>
      <c r="I11" s="160"/>
      <c r="J11" s="160"/>
      <c r="K11" s="160"/>
      <c r="L11" s="160"/>
      <c r="M11" s="160"/>
      <c r="N11" s="160"/>
      <c r="O11" s="161"/>
      <c r="S11" s="31" t="s">
        <v>83</v>
      </c>
      <c r="T11" s="31" t="s">
        <v>84</v>
      </c>
      <c r="W11" s="31" t="s">
        <v>85</v>
      </c>
      <c r="AB11" s="31">
        <f>LOOKUP(AX16,BE11:BE130,BF11:BF130)</f>
        <v>0.8</v>
      </c>
      <c r="AC11" s="31">
        <f>LOOKUP(AX16,BE11:BE130,BG11:BG130)</f>
        <v>0.88800000000000001</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c r="BQ11" s="31">
        <v>50</v>
      </c>
      <c r="BR11" s="192">
        <v>24</v>
      </c>
      <c r="BU11" s="192">
        <v>26.2</v>
      </c>
    </row>
    <row r="12" spans="2:73" ht="21" x14ac:dyDescent="0.35">
      <c r="B12" s="168" t="s">
        <v>137</v>
      </c>
      <c r="C12" s="123"/>
      <c r="D12" s="123"/>
      <c r="E12" s="123"/>
      <c r="F12" s="123"/>
      <c r="G12" s="123"/>
      <c r="H12" s="123"/>
      <c r="I12" s="123"/>
      <c r="J12" s="123"/>
      <c r="K12" s="123"/>
      <c r="L12" s="123"/>
      <c r="M12" s="123"/>
      <c r="N12" s="123"/>
      <c r="O12" s="163"/>
      <c r="S12" s="31">
        <f>M14</f>
        <v>30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c r="BQ12" s="31">
        <v>50.083333333333336</v>
      </c>
      <c r="BR12" s="192">
        <v>23.9</v>
      </c>
      <c r="BU12" s="192">
        <v>26.2</v>
      </c>
    </row>
    <row r="13" spans="2:73" ht="19.5" thickBot="1" x14ac:dyDescent="0.35">
      <c r="B13" s="162"/>
      <c r="C13" s="140"/>
      <c r="D13" s="140"/>
      <c r="E13" s="140"/>
      <c r="F13" s="140"/>
      <c r="G13" s="140"/>
      <c r="H13" s="140"/>
      <c r="I13" s="140"/>
      <c r="J13" s="140"/>
      <c r="K13" s="140"/>
      <c r="L13" s="140"/>
      <c r="M13" s="195" t="s">
        <v>31</v>
      </c>
      <c r="N13" s="195" t="s">
        <v>86</v>
      </c>
      <c r="O13" s="163"/>
      <c r="W13" s="31">
        <f>W12+S12</f>
        <v>30</v>
      </c>
      <c r="X13" s="31" t="s">
        <v>87</v>
      </c>
      <c r="Y13" s="31">
        <f>T12/365+S12</f>
        <v>30</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c r="BQ13" s="31">
        <v>50.166666666666664</v>
      </c>
      <c r="BR13" s="192">
        <v>23.9</v>
      </c>
      <c r="BU13" s="192">
        <v>26.1</v>
      </c>
    </row>
    <row r="14" spans="2:73" ht="20.25" thickTop="1" thickBot="1" x14ac:dyDescent="0.35">
      <c r="B14" s="162" t="s">
        <v>164</v>
      </c>
      <c r="C14" s="140"/>
      <c r="D14" s="140"/>
      <c r="E14" s="140"/>
      <c r="F14" s="140"/>
      <c r="G14" s="140"/>
      <c r="H14" s="140"/>
      <c r="I14" s="140"/>
      <c r="J14" s="140"/>
      <c r="K14" s="140"/>
      <c r="L14" s="140"/>
      <c r="M14" s="181">
        <v>30</v>
      </c>
      <c r="N14" s="181">
        <v>0</v>
      </c>
      <c r="O14" s="163"/>
      <c r="AV14" s="31" t="s">
        <v>88</v>
      </c>
      <c r="AX14" s="31" t="s">
        <v>34</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c r="BQ14" s="31">
        <v>50.25</v>
      </c>
      <c r="BR14" s="192">
        <v>23.9</v>
      </c>
      <c r="BU14" s="192">
        <v>26.1</v>
      </c>
    </row>
    <row r="15" spans="2:73" ht="19.5" thickTop="1" x14ac:dyDescent="0.3">
      <c r="B15" s="162" t="s">
        <v>89</v>
      </c>
      <c r="C15" s="140"/>
      <c r="D15" s="140"/>
      <c r="E15" s="140"/>
      <c r="F15" s="140"/>
      <c r="G15" s="140"/>
      <c r="H15" s="140"/>
      <c r="I15" s="140"/>
      <c r="J15" s="140"/>
      <c r="K15" s="140"/>
      <c r="L15" s="140"/>
      <c r="M15" s="140"/>
      <c r="N15" s="140"/>
      <c r="O15" s="163"/>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c r="BQ15" s="31">
        <v>50.333333333333336</v>
      </c>
      <c r="BR15" s="192">
        <v>23.8</v>
      </c>
      <c r="BU15" s="192">
        <v>26.1</v>
      </c>
    </row>
    <row r="16" spans="2:73" ht="19.5" thickBot="1" x14ac:dyDescent="0.35">
      <c r="B16" s="162"/>
      <c r="C16" s="140"/>
      <c r="D16" s="140"/>
      <c r="E16" s="140"/>
      <c r="F16" s="140"/>
      <c r="G16" s="140"/>
      <c r="H16" s="140"/>
      <c r="I16" s="140"/>
      <c r="J16" s="140"/>
      <c r="K16" s="140"/>
      <c r="L16" s="140"/>
      <c r="M16" s="140"/>
      <c r="N16" s="140"/>
      <c r="O16" s="163"/>
      <c r="V16" s="196">
        <f>W13/60*M17</f>
        <v>15000</v>
      </c>
      <c r="X16" s="31">
        <f>V16*AB11</f>
        <v>12000</v>
      </c>
      <c r="AV16" s="31">
        <f>N30/12</f>
        <v>0</v>
      </c>
      <c r="AX16" s="31">
        <f>AV16+M30</f>
        <v>55</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c r="BQ16" s="31">
        <v>50.416666666666664</v>
      </c>
      <c r="BR16" s="192">
        <v>23.8</v>
      </c>
      <c r="BU16" s="192">
        <v>26</v>
      </c>
    </row>
    <row r="17" spans="2:73" ht="20.25" thickTop="1" thickBot="1" x14ac:dyDescent="0.35">
      <c r="B17" s="188" t="s">
        <v>123</v>
      </c>
      <c r="C17" s="140"/>
      <c r="D17" s="140"/>
      <c r="E17" s="140"/>
      <c r="F17" s="140"/>
      <c r="G17" s="140"/>
      <c r="H17" s="140"/>
      <c r="I17" s="140"/>
      <c r="J17" s="140"/>
      <c r="K17" s="140"/>
      <c r="L17" s="140"/>
      <c r="M17" s="182">
        <v>30000</v>
      </c>
      <c r="N17" s="140"/>
      <c r="O17" s="163"/>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c r="BQ17" s="31">
        <v>50.5</v>
      </c>
      <c r="BR17" s="192">
        <v>23.8</v>
      </c>
      <c r="BU17" s="192">
        <v>26</v>
      </c>
    </row>
    <row r="18" spans="2:73" ht="19.5" thickTop="1" x14ac:dyDescent="0.3">
      <c r="B18" s="162"/>
      <c r="C18" s="140"/>
      <c r="D18" s="140"/>
      <c r="E18" s="140"/>
      <c r="F18" s="140"/>
      <c r="G18" s="140"/>
      <c r="H18" s="140"/>
      <c r="I18" s="140"/>
      <c r="J18" s="140"/>
      <c r="K18" s="140"/>
      <c r="L18" s="140"/>
      <c r="M18" s="140"/>
      <c r="N18" s="140"/>
      <c r="O18" s="163"/>
      <c r="R18" s="31" t="s">
        <v>90</v>
      </c>
      <c r="V18" s="31">
        <f>V16*3</f>
        <v>45000</v>
      </c>
      <c r="X18" s="31">
        <f>V18*AC11</f>
        <v>39960</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c r="BQ18" s="31">
        <v>50.583333333333336</v>
      </c>
      <c r="BR18" s="192">
        <v>23.7</v>
      </c>
      <c r="BU18" s="192">
        <v>25.9</v>
      </c>
    </row>
    <row r="19" spans="2:73" ht="18.75" x14ac:dyDescent="0.3">
      <c r="B19" s="197" t="s">
        <v>136</v>
      </c>
      <c r="C19" s="198"/>
      <c r="D19" s="198"/>
      <c r="E19" s="198"/>
      <c r="F19" s="198"/>
      <c r="G19" s="140"/>
      <c r="H19" s="140"/>
      <c r="I19" s="140"/>
      <c r="J19" s="140"/>
      <c r="K19" s="140"/>
      <c r="L19" s="140"/>
      <c r="M19" s="198" t="s">
        <v>90</v>
      </c>
      <c r="N19" s="140"/>
      <c r="O19" s="163"/>
      <c r="R19" s="31" t="s">
        <v>91</v>
      </c>
      <c r="AU19" s="31" t="s">
        <v>142</v>
      </c>
      <c r="AX19" s="31">
        <f>LOOKUP(AX16,BQ11:BQ311,BU11:BU311)</f>
        <v>23.6</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c r="BQ19" s="31">
        <v>50.666666666666664</v>
      </c>
      <c r="BR19" s="192">
        <v>23.7</v>
      </c>
      <c r="BU19" s="192">
        <v>25.9</v>
      </c>
    </row>
    <row r="20" spans="2:73" ht="18.75" x14ac:dyDescent="0.3">
      <c r="B20" s="162"/>
      <c r="C20" s="140"/>
      <c r="D20" s="140"/>
      <c r="E20" s="140"/>
      <c r="F20" s="140"/>
      <c r="G20" s="140"/>
      <c r="H20" s="140"/>
      <c r="I20" s="140"/>
      <c r="J20" s="140"/>
      <c r="K20" s="140"/>
      <c r="L20" s="140"/>
      <c r="M20" s="140"/>
      <c r="N20" s="140"/>
      <c r="O20" s="163"/>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c r="BQ20" s="31">
        <v>50.75</v>
      </c>
      <c r="BR20" s="192">
        <v>23.7</v>
      </c>
      <c r="BU20" s="192">
        <v>25.9</v>
      </c>
    </row>
    <row r="21" spans="2:73" ht="21" x14ac:dyDescent="0.35">
      <c r="B21" s="168" t="s">
        <v>92</v>
      </c>
      <c r="C21" s="123"/>
      <c r="D21" s="123"/>
      <c r="E21" s="123"/>
      <c r="F21" s="123"/>
      <c r="G21" s="123"/>
      <c r="H21" s="123"/>
      <c r="I21" s="123"/>
      <c r="J21" s="123"/>
      <c r="K21" s="123"/>
      <c r="L21" s="123"/>
      <c r="M21" s="123"/>
      <c r="N21" s="123"/>
      <c r="O21" s="163"/>
      <c r="AU21" s="31" t="s">
        <v>143</v>
      </c>
      <c r="AX21" s="196">
        <f>E41/4</f>
        <v>5000</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c r="BQ21" s="31">
        <v>50.833333333333336</v>
      </c>
      <c r="BR21" s="192">
        <v>23.6</v>
      </c>
      <c r="BU21" s="192">
        <v>25.8</v>
      </c>
    </row>
    <row r="22" spans="2:73" x14ac:dyDescent="0.25">
      <c r="B22" s="169"/>
      <c r="C22" s="123"/>
      <c r="D22" s="123"/>
      <c r="E22" s="123"/>
      <c r="F22" s="123"/>
      <c r="G22" s="123"/>
      <c r="H22" s="123"/>
      <c r="I22" s="123"/>
      <c r="J22" s="123"/>
      <c r="K22" s="123"/>
      <c r="L22" s="123"/>
      <c r="M22" s="123"/>
      <c r="N22" s="123"/>
      <c r="O22" s="163"/>
      <c r="P22" s="31">
        <v>43555</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c r="BQ22" s="31">
        <v>50.916666666666664</v>
      </c>
      <c r="BR22" s="192">
        <v>23.6</v>
      </c>
      <c r="BU22" s="192">
        <v>25.8</v>
      </c>
    </row>
    <row r="23" spans="2:73" ht="18.75" x14ac:dyDescent="0.3">
      <c r="B23" s="189" t="s">
        <v>145</v>
      </c>
      <c r="C23" s="140"/>
      <c r="D23" s="140"/>
      <c r="E23" s="140"/>
      <c r="F23" s="140"/>
      <c r="G23" s="140"/>
      <c r="H23" s="140"/>
      <c r="I23" s="140"/>
      <c r="J23" s="140"/>
      <c r="K23" s="140"/>
      <c r="L23" s="140"/>
      <c r="M23" s="140"/>
      <c r="N23" s="140"/>
      <c r="O23" s="163"/>
      <c r="AU23" s="31" t="s">
        <v>144</v>
      </c>
      <c r="AX23" s="196">
        <f>AX19*AX21</f>
        <v>118000</v>
      </c>
      <c r="BE23" s="31">
        <v>51</v>
      </c>
      <c r="BF23" s="31">
        <v>0.68500000000000005</v>
      </c>
      <c r="BG23" s="31">
        <v>0.80800000000000005</v>
      </c>
      <c r="BQ23" s="31">
        <v>51</v>
      </c>
      <c r="BR23" s="192">
        <v>23.6</v>
      </c>
      <c r="BU23" s="192">
        <v>25.7</v>
      </c>
    </row>
    <row r="24" spans="2:73" ht="19.5" thickBot="1" x14ac:dyDescent="0.35">
      <c r="B24" s="162"/>
      <c r="C24" s="140"/>
      <c r="D24" s="140"/>
      <c r="E24" s="140"/>
      <c r="F24" s="140"/>
      <c r="G24" s="140"/>
      <c r="H24" s="140"/>
      <c r="I24" s="140"/>
      <c r="J24" s="140"/>
      <c r="K24" s="140"/>
      <c r="L24" s="140"/>
      <c r="M24" s="195" t="s">
        <v>4</v>
      </c>
      <c r="N24" s="140"/>
      <c r="O24" s="163"/>
      <c r="P24" s="31" t="e">
        <f>(M22-P22)*#REF!</f>
        <v>#REF!</v>
      </c>
      <c r="R24" s="31">
        <f>YEAR(M22)-YEAR(P22)</f>
        <v>-119</v>
      </c>
      <c r="S24" s="31" t="e">
        <f>P24-(R24*365)</f>
        <v>#REF!</v>
      </c>
      <c r="BE24" s="31">
        <v>51.083333333333336</v>
      </c>
      <c r="BF24" s="31">
        <v>0.68700000000000006</v>
      </c>
      <c r="BG24" s="31">
        <v>0.80900000000000005</v>
      </c>
      <c r="BQ24" s="31">
        <v>51.083333333333336</v>
      </c>
      <c r="BR24" s="192">
        <v>23.6</v>
      </c>
      <c r="BU24" s="192">
        <v>25.7</v>
      </c>
    </row>
    <row r="25" spans="2:73" ht="20.25" thickTop="1" thickBot="1" x14ac:dyDescent="0.35">
      <c r="B25" s="162" t="s">
        <v>93</v>
      </c>
      <c r="C25" s="140"/>
      <c r="D25" s="140"/>
      <c r="E25" s="140"/>
      <c r="F25" s="140"/>
      <c r="G25" s="140"/>
      <c r="H25" s="140"/>
      <c r="I25" s="140"/>
      <c r="J25" s="140"/>
      <c r="K25" s="140"/>
      <c r="L25" s="140"/>
      <c r="M25" s="181">
        <v>50</v>
      </c>
      <c r="N25" s="140"/>
      <c r="O25" s="163"/>
      <c r="BE25" s="31">
        <v>51.166666666666664</v>
      </c>
      <c r="BF25" s="31">
        <v>0.68899999999999995</v>
      </c>
      <c r="BG25" s="31">
        <v>0.81100000000000005</v>
      </c>
      <c r="BN25" s="83">
        <v>42094</v>
      </c>
      <c r="BQ25" s="31">
        <v>51.166666666666664</v>
      </c>
      <c r="BR25" s="192">
        <v>23.5</v>
      </c>
      <c r="BU25" s="192">
        <v>25.7</v>
      </c>
    </row>
    <row r="26" spans="2:73" ht="20.25" thickTop="1" thickBot="1" x14ac:dyDescent="0.35">
      <c r="B26" s="162"/>
      <c r="C26" s="140"/>
      <c r="D26" s="140"/>
      <c r="E26" s="140"/>
      <c r="F26" s="140"/>
      <c r="G26" s="140"/>
      <c r="H26" s="140"/>
      <c r="I26" s="140"/>
      <c r="J26" s="140"/>
      <c r="K26" s="140"/>
      <c r="L26" s="140"/>
      <c r="M26" s="140"/>
      <c r="N26" s="140"/>
      <c r="O26" s="163"/>
      <c r="BE26" s="31">
        <v>51.25</v>
      </c>
      <c r="BF26" s="31">
        <v>0.69099999999999995</v>
      </c>
      <c r="BG26" s="31">
        <v>0.81299999999999994</v>
      </c>
      <c r="BN26" s="83">
        <f>M32</f>
        <v>45382</v>
      </c>
      <c r="BP26" s="31">
        <f>BN41*2</f>
        <v>14600</v>
      </c>
      <c r="BQ26" s="31">
        <v>51.25</v>
      </c>
      <c r="BR26" s="192">
        <v>23.5</v>
      </c>
      <c r="BU26" s="192">
        <v>25.6</v>
      </c>
    </row>
    <row r="27" spans="2:73" ht="20.25" thickTop="1" thickBot="1" x14ac:dyDescent="0.35">
      <c r="B27" s="188" t="s">
        <v>124</v>
      </c>
      <c r="C27" s="140"/>
      <c r="D27" s="140"/>
      <c r="E27" s="140"/>
      <c r="F27" s="140"/>
      <c r="G27" s="140"/>
      <c r="H27" s="140"/>
      <c r="I27" s="140"/>
      <c r="J27" s="140"/>
      <c r="K27" s="140"/>
      <c r="L27" s="140"/>
      <c r="M27" s="182">
        <v>28000</v>
      </c>
      <c r="N27" s="140" t="s">
        <v>56</v>
      </c>
      <c r="O27" s="163"/>
      <c r="R27" s="31">
        <f>N30/12</f>
        <v>0</v>
      </c>
      <c r="BE27" s="31">
        <v>51.333333333333336</v>
      </c>
      <c r="BF27" s="31">
        <v>0.69299999999999995</v>
      </c>
      <c r="BG27" s="31">
        <v>0.81399999999999995</v>
      </c>
      <c r="BN27" s="31">
        <f>BN26-BN25</f>
        <v>3288</v>
      </c>
      <c r="BO27" s="31" t="s">
        <v>156</v>
      </c>
      <c r="BQ27" s="31">
        <v>51.333333333333336</v>
      </c>
      <c r="BR27" s="192">
        <v>23.5</v>
      </c>
      <c r="BU27" s="192">
        <v>25.6</v>
      </c>
    </row>
    <row r="28" spans="2:73" ht="15.75" thickTop="1" x14ac:dyDescent="0.25">
      <c r="B28" s="169"/>
      <c r="C28" s="123"/>
      <c r="D28" s="123"/>
      <c r="E28" s="123"/>
      <c r="F28" s="123"/>
      <c r="G28" s="123"/>
      <c r="H28" s="123"/>
      <c r="I28" s="123"/>
      <c r="J28" s="123"/>
      <c r="K28" s="123"/>
      <c r="L28" s="123"/>
      <c r="M28" s="123"/>
      <c r="N28" s="123"/>
      <c r="O28" s="163"/>
      <c r="R28" s="31">
        <f>(M27*1.54%)*R27</f>
        <v>0</v>
      </c>
      <c r="BE28" s="31">
        <v>51.416666666666664</v>
      </c>
      <c r="BF28" s="31">
        <v>0.69499999999999995</v>
      </c>
      <c r="BG28" s="31">
        <v>0.81599999999999995</v>
      </c>
      <c r="BN28" s="31">
        <f>IF(M14&gt;=20,BN27*2,BN27)</f>
        <v>6576</v>
      </c>
      <c r="BQ28" s="31">
        <v>51.416666666666664</v>
      </c>
      <c r="BR28" s="192">
        <v>23.4</v>
      </c>
      <c r="BU28" s="192">
        <v>25.5</v>
      </c>
    </row>
    <row r="29" spans="2:73" ht="19.5" thickBot="1" x14ac:dyDescent="0.35">
      <c r="B29" s="162"/>
      <c r="C29" s="140"/>
      <c r="D29" s="140"/>
      <c r="E29" s="140"/>
      <c r="F29" s="140"/>
      <c r="G29" s="140"/>
      <c r="H29" s="140"/>
      <c r="I29" s="140"/>
      <c r="J29" s="140"/>
      <c r="K29" s="140"/>
      <c r="L29" s="140"/>
      <c r="M29" s="195" t="s">
        <v>31</v>
      </c>
      <c r="N29" s="195" t="s">
        <v>32</v>
      </c>
      <c r="O29" s="163"/>
      <c r="BE29" s="31">
        <v>51.5</v>
      </c>
      <c r="BF29" s="31">
        <v>0.69699999999999995</v>
      </c>
      <c r="BG29" s="31">
        <v>0.81699999999999995</v>
      </c>
      <c r="BQ29" s="31">
        <v>51.5</v>
      </c>
      <c r="BR29" s="192">
        <v>23.4</v>
      </c>
      <c r="BU29" s="192">
        <v>25.5</v>
      </c>
    </row>
    <row r="30" spans="2:73" ht="20.25" thickTop="1" thickBot="1" x14ac:dyDescent="0.35">
      <c r="B30" s="162" t="s">
        <v>94</v>
      </c>
      <c r="C30" s="140"/>
      <c r="D30" s="140"/>
      <c r="E30" s="140"/>
      <c r="F30" s="140"/>
      <c r="G30" s="140"/>
      <c r="H30" s="140"/>
      <c r="I30" s="140"/>
      <c r="J30" s="140"/>
      <c r="K30" s="140"/>
      <c r="L30" s="140"/>
      <c r="M30" s="181">
        <v>55</v>
      </c>
      <c r="N30" s="181">
        <v>0</v>
      </c>
      <c r="O30" s="163"/>
      <c r="BE30" s="31">
        <v>51.583333333333336</v>
      </c>
      <c r="BF30" s="31">
        <v>0.7</v>
      </c>
      <c r="BG30" s="31">
        <v>0.81899999999999995</v>
      </c>
      <c r="BN30" s="31">
        <f>BN27/365</f>
        <v>9.0082191780821912</v>
      </c>
      <c r="BQ30" s="31">
        <v>51.583333333333336</v>
      </c>
      <c r="BR30" s="192">
        <v>23.4</v>
      </c>
      <c r="BU30" s="192">
        <v>25.5</v>
      </c>
    </row>
    <row r="31" spans="2:73" ht="20.25" thickTop="1" thickBot="1" x14ac:dyDescent="0.35">
      <c r="B31" s="162"/>
      <c r="C31" s="140"/>
      <c r="D31" s="140"/>
      <c r="E31" s="140"/>
      <c r="F31" s="140"/>
      <c r="G31" s="140"/>
      <c r="H31" s="140"/>
      <c r="I31" s="140"/>
      <c r="J31" s="140"/>
      <c r="K31" s="140"/>
      <c r="L31" s="140"/>
      <c r="M31" s="59" t="str">
        <f>IF(M30&lt;55,"Use other Calculator",".")</f>
        <v>.</v>
      </c>
      <c r="N31" s="140"/>
      <c r="O31" s="163"/>
      <c r="BE31" s="31">
        <v>51.666666666666664</v>
      </c>
      <c r="BF31" s="31">
        <v>0.70199999999999996</v>
      </c>
      <c r="BG31" s="31">
        <v>0.82099999999999995</v>
      </c>
      <c r="BN31" s="31">
        <f>IF(M14&gt;=20,BN30*2,BN30)</f>
        <v>18.016438356164382</v>
      </c>
      <c r="BQ31" s="31">
        <v>51.666666666666664</v>
      </c>
      <c r="BR31" s="192">
        <v>23.3</v>
      </c>
      <c r="BU31" s="192">
        <v>25.4</v>
      </c>
    </row>
    <row r="32" spans="2:73" ht="20.25" thickTop="1" thickBot="1" x14ac:dyDescent="0.35">
      <c r="B32" s="162" t="s">
        <v>155</v>
      </c>
      <c r="C32" s="140"/>
      <c r="D32" s="140"/>
      <c r="E32" s="140"/>
      <c r="F32" s="140"/>
      <c r="G32" s="140"/>
      <c r="H32" s="140"/>
      <c r="I32" s="140"/>
      <c r="J32" s="140"/>
      <c r="K32" s="140"/>
      <c r="L32" s="140"/>
      <c r="M32" s="199">
        <v>45382</v>
      </c>
      <c r="N32" s="140"/>
      <c r="O32" s="163"/>
      <c r="BE32" s="31">
        <v>51.75</v>
      </c>
      <c r="BF32" s="31">
        <v>0.70399999999999996</v>
      </c>
      <c r="BG32" s="31">
        <v>0.82199999999999995</v>
      </c>
      <c r="BN32" s="31">
        <f>M14*365+N14+BN41</f>
        <v>18250</v>
      </c>
      <c r="BO32" s="31" t="s">
        <v>159</v>
      </c>
      <c r="BQ32" s="31">
        <v>51.75</v>
      </c>
      <c r="BR32" s="192">
        <v>23.3</v>
      </c>
      <c r="BU32" s="192">
        <v>25.4</v>
      </c>
    </row>
    <row r="33" spans="2:73" ht="19.5" thickTop="1" x14ac:dyDescent="0.3">
      <c r="I33" s="140"/>
      <c r="J33" s="140"/>
      <c r="K33" s="140"/>
      <c r="L33" s="140"/>
      <c r="M33" s="140"/>
      <c r="N33" s="140"/>
      <c r="O33" s="163"/>
      <c r="BE33" s="31">
        <v>51.833333333333336</v>
      </c>
      <c r="BF33" s="31">
        <v>0.70599999999999996</v>
      </c>
      <c r="BG33" s="31">
        <v>0.82399999999999995</v>
      </c>
      <c r="BN33" s="31">
        <f>BN32+BN28</f>
        <v>24826</v>
      </c>
      <c r="BO33" s="31" t="s">
        <v>160</v>
      </c>
      <c r="BQ33" s="31">
        <v>51.833333333333336</v>
      </c>
      <c r="BR33" s="192">
        <v>23.3</v>
      </c>
      <c r="BU33" s="192">
        <v>25.3</v>
      </c>
    </row>
    <row r="34" spans="2:73" ht="19.5" thickBot="1" x14ac:dyDescent="0.35">
      <c r="B34" s="162" t="s">
        <v>95</v>
      </c>
      <c r="C34" s="140"/>
      <c r="D34" s="140"/>
      <c r="E34" s="140"/>
      <c r="F34" s="140"/>
      <c r="G34" s="140"/>
      <c r="H34" s="140"/>
      <c r="I34" s="165"/>
      <c r="J34" s="165"/>
      <c r="K34" s="165"/>
      <c r="L34" s="165"/>
      <c r="M34" s="165"/>
      <c r="N34" s="165"/>
      <c r="O34" s="166"/>
      <c r="BE34" s="31">
        <v>51.916666666666664</v>
      </c>
      <c r="BF34" s="31">
        <v>0.70799999999999996</v>
      </c>
      <c r="BG34" s="31">
        <v>0.82599999999999996</v>
      </c>
      <c r="BN34" s="31">
        <f>BN32/BN33</f>
        <v>0.7351164102150971</v>
      </c>
      <c r="BQ34" s="31">
        <v>51.916666666666664</v>
      </c>
      <c r="BR34" s="192">
        <v>23.2</v>
      </c>
      <c r="BU34" s="192">
        <v>25.3</v>
      </c>
    </row>
    <row r="35" spans="2:73" ht="15.75" thickTop="1" x14ac:dyDescent="0.25">
      <c r="B35" s="167"/>
      <c r="C35" s="160"/>
      <c r="D35" s="160"/>
      <c r="E35" s="160"/>
      <c r="F35" s="160"/>
      <c r="G35" s="160"/>
      <c r="H35" s="160"/>
      <c r="I35" s="160"/>
      <c r="J35" s="160"/>
      <c r="K35" s="160"/>
      <c r="L35" s="160"/>
      <c r="M35" s="160"/>
      <c r="N35" s="160"/>
      <c r="O35" s="161"/>
      <c r="BE35" s="31">
        <v>52</v>
      </c>
      <c r="BF35" s="31">
        <v>0.71</v>
      </c>
      <c r="BG35" s="31">
        <v>0.82699999999999996</v>
      </c>
      <c r="BQ35" s="31">
        <v>52</v>
      </c>
      <c r="BR35" s="192">
        <v>23.2</v>
      </c>
      <c r="BU35" s="192">
        <v>25.2</v>
      </c>
    </row>
    <row r="36" spans="2:73" ht="21" x14ac:dyDescent="0.35">
      <c r="B36" s="168" t="s">
        <v>96</v>
      </c>
      <c r="C36" s="123"/>
      <c r="D36" s="123"/>
      <c r="E36" s="123"/>
      <c r="F36" s="123"/>
      <c r="G36" s="123"/>
      <c r="H36" s="123"/>
      <c r="I36" s="123"/>
      <c r="J36" s="123"/>
      <c r="K36" s="123"/>
      <c r="L36" s="123"/>
      <c r="M36" s="123"/>
      <c r="N36" s="123"/>
      <c r="O36" s="163"/>
      <c r="BE36" s="31">
        <v>52.083333333333336</v>
      </c>
      <c r="BF36" s="31">
        <v>0.71299999999999997</v>
      </c>
      <c r="BG36" s="31">
        <v>0.82899999999999996</v>
      </c>
      <c r="BN36" s="31">
        <f>BN33/365</f>
        <v>68.016438356164386</v>
      </c>
      <c r="BQ36" s="31">
        <v>52.083333333333336</v>
      </c>
      <c r="BR36" s="192">
        <v>23.2</v>
      </c>
      <c r="BU36" s="192">
        <v>25.2</v>
      </c>
    </row>
    <row r="37" spans="2:73" x14ac:dyDescent="0.25">
      <c r="B37" s="169"/>
      <c r="C37" s="123"/>
      <c r="D37" s="123"/>
      <c r="E37" s="123"/>
      <c r="F37" s="123"/>
      <c r="G37" s="123"/>
      <c r="H37" s="123"/>
      <c r="I37" s="123"/>
      <c r="J37" s="123"/>
      <c r="K37" s="123"/>
      <c r="L37" s="123"/>
      <c r="M37" s="123"/>
      <c r="N37" s="123"/>
      <c r="O37" s="163"/>
      <c r="BE37" s="31">
        <v>52.166666666666664</v>
      </c>
      <c r="BF37" s="31">
        <v>0.71499999999999997</v>
      </c>
      <c r="BG37" s="31">
        <v>0.83</v>
      </c>
      <c r="BQ37" s="31">
        <v>52.166666666666664</v>
      </c>
      <c r="BR37" s="192">
        <v>23.1</v>
      </c>
      <c r="BU37" s="192">
        <v>25.2</v>
      </c>
    </row>
    <row r="38" spans="2:73" ht="18.75" x14ac:dyDescent="0.3">
      <c r="B38" s="162" t="s">
        <v>97</v>
      </c>
      <c r="C38" s="140"/>
      <c r="D38" s="140"/>
      <c r="E38" s="140"/>
      <c r="F38" s="140"/>
      <c r="G38" s="140"/>
      <c r="H38" s="140"/>
      <c r="I38" s="140"/>
      <c r="J38" s="140"/>
      <c r="K38" s="140"/>
      <c r="L38" s="140"/>
      <c r="M38" s="140"/>
      <c r="N38" s="140"/>
      <c r="O38" s="163"/>
      <c r="R38" s="196">
        <f>E41/4</f>
        <v>5000</v>
      </c>
      <c r="U38" s="196">
        <f ca="1">I41/4</f>
        <v>567.62531355088117</v>
      </c>
      <c r="BE38" s="31">
        <v>52.25</v>
      </c>
      <c r="BF38" s="31">
        <v>0.71699999999999997</v>
      </c>
      <c r="BG38" s="31">
        <v>0.83199999999999996</v>
      </c>
      <c r="BN38" s="31">
        <f>IF(BN36&gt;=30,40,BN36)</f>
        <v>40</v>
      </c>
      <c r="BO38" s="31" t="s">
        <v>157</v>
      </c>
      <c r="BQ38" s="31">
        <v>52.25</v>
      </c>
      <c r="BR38" s="192">
        <v>23.1</v>
      </c>
      <c r="BU38" s="192">
        <v>25.1</v>
      </c>
    </row>
    <row r="39" spans="2:73" ht="18.75" x14ac:dyDescent="0.3">
      <c r="B39" s="162"/>
      <c r="C39" s="140" t="s">
        <v>138</v>
      </c>
      <c r="D39" s="140"/>
      <c r="E39" s="140"/>
      <c r="F39" s="140"/>
      <c r="G39" s="140" t="s">
        <v>98</v>
      </c>
      <c r="H39" s="140"/>
      <c r="I39" s="140"/>
      <c r="J39" s="140"/>
      <c r="K39" s="140"/>
      <c r="L39" s="140" t="s">
        <v>99</v>
      </c>
      <c r="M39" s="140"/>
      <c r="N39" s="140"/>
      <c r="O39" s="163"/>
      <c r="BE39" s="31">
        <v>52.333333333333336</v>
      </c>
      <c r="BF39" s="31">
        <v>0.72</v>
      </c>
      <c r="BG39" s="31">
        <v>0.83399999999999996</v>
      </c>
      <c r="BQ39" s="31">
        <v>52.333333333333336</v>
      </c>
      <c r="BR39" s="192">
        <v>23.1</v>
      </c>
      <c r="BU39" s="192">
        <v>25.1</v>
      </c>
    </row>
    <row r="40" spans="2:73" ht="19.5" thickBot="1" x14ac:dyDescent="0.35">
      <c r="B40" s="162"/>
      <c r="C40" s="140"/>
      <c r="D40" s="140"/>
      <c r="E40" s="140"/>
      <c r="F40" s="140"/>
      <c r="G40" s="140"/>
      <c r="H40" s="140"/>
      <c r="I40" s="140"/>
      <c r="J40" s="140"/>
      <c r="K40" s="140"/>
      <c r="L40" s="140"/>
      <c r="M40" s="140"/>
      <c r="N40" s="140"/>
      <c r="O40" s="163"/>
      <c r="Q40" s="31" t="s">
        <v>139</v>
      </c>
      <c r="R40" s="31">
        <f>(E41/4)*12</f>
        <v>60000</v>
      </c>
      <c r="T40" s="31" t="s">
        <v>140</v>
      </c>
      <c r="U40" s="31">
        <f ca="1">I41/4*12</f>
        <v>6811.5037626105741</v>
      </c>
      <c r="BE40" s="31">
        <v>52.416666666666664</v>
      </c>
      <c r="BF40" s="31">
        <v>0.72199999999999998</v>
      </c>
      <c r="BG40" s="31">
        <v>0.83499999999999996</v>
      </c>
      <c r="BQ40" s="31">
        <v>52.416666666666664</v>
      </c>
      <c r="BR40" s="192">
        <v>23</v>
      </c>
      <c r="BU40" s="192">
        <v>25</v>
      </c>
    </row>
    <row r="41" spans="2:73" ht="20.25" thickTop="1" thickBot="1" x14ac:dyDescent="0.35">
      <c r="B41" s="162"/>
      <c r="C41" s="140" t="s">
        <v>100</v>
      </c>
      <c r="D41" s="140"/>
      <c r="E41" s="171">
        <f>BN43</f>
        <v>20000</v>
      </c>
      <c r="F41" s="140"/>
      <c r="G41" s="140" t="s">
        <v>100</v>
      </c>
      <c r="H41" s="140"/>
      <c r="I41" s="171">
        <f ca="1">'2015 Calculator Age 67'!K36+R28</f>
        <v>2270.5012542035247</v>
      </c>
      <c r="J41" s="140"/>
      <c r="K41" s="140"/>
      <c r="L41" s="140" t="s">
        <v>100</v>
      </c>
      <c r="M41" s="140"/>
      <c r="N41" s="171">
        <f ca="1">E41+I41</f>
        <v>22270.501254203526</v>
      </c>
      <c r="O41" s="163"/>
      <c r="BE41" s="31">
        <v>52.5</v>
      </c>
      <c r="BF41" s="31">
        <v>0.72399999999999998</v>
      </c>
      <c r="BG41" s="31">
        <v>0.83699999999999997</v>
      </c>
      <c r="BN41" s="31">
        <f>((M14*365+N14)-20*365)*2</f>
        <v>7300</v>
      </c>
      <c r="BO41" s="31" t="s">
        <v>158</v>
      </c>
      <c r="BQ41" s="31">
        <v>52.5</v>
      </c>
      <c r="BR41" s="192">
        <v>23</v>
      </c>
      <c r="BU41" s="192">
        <v>25</v>
      </c>
    </row>
    <row r="42" spans="2:73" ht="19.5" thickTop="1" x14ac:dyDescent="0.3">
      <c r="B42" s="162"/>
      <c r="C42" s="140"/>
      <c r="D42" s="140"/>
      <c r="E42" s="172"/>
      <c r="F42" s="140"/>
      <c r="G42" s="140"/>
      <c r="H42" s="140"/>
      <c r="I42" s="140"/>
      <c r="J42" s="140"/>
      <c r="K42" s="140"/>
      <c r="L42" s="140"/>
      <c r="M42" s="140"/>
      <c r="N42" s="172"/>
      <c r="O42" s="163"/>
      <c r="BE42" s="31">
        <v>52.583333333333336</v>
      </c>
      <c r="BF42" s="31">
        <v>0.72599999999999998</v>
      </c>
      <c r="BG42" s="31">
        <v>0.83899999999999997</v>
      </c>
      <c r="BQ42" s="31">
        <v>52.583333333333336</v>
      </c>
      <c r="BR42" s="192">
        <v>23</v>
      </c>
      <c r="BU42" s="192">
        <v>24.9</v>
      </c>
    </row>
    <row r="43" spans="2:73" ht="18.75" x14ac:dyDescent="0.3">
      <c r="B43" s="162"/>
      <c r="C43" s="140"/>
      <c r="D43" s="140"/>
      <c r="E43" s="172"/>
      <c r="F43" s="140"/>
      <c r="G43" s="140"/>
      <c r="H43" s="140"/>
      <c r="I43" s="140"/>
      <c r="J43" s="140"/>
      <c r="K43" s="140"/>
      <c r="L43" s="140"/>
      <c r="M43" s="140"/>
      <c r="N43" s="172"/>
      <c r="O43" s="163"/>
      <c r="BE43" s="31">
        <v>52.666666666666664</v>
      </c>
      <c r="BF43" s="31">
        <v>0.72899999999999998</v>
      </c>
      <c r="BG43" s="31">
        <v>0.84</v>
      </c>
      <c r="BN43" s="196">
        <f>(BN38/60)*(BN45/BN51)*M17</f>
        <v>20000</v>
      </c>
      <c r="BQ43" s="31">
        <v>52.666666666666664</v>
      </c>
      <c r="BR43" s="192">
        <v>22.9</v>
      </c>
      <c r="BU43" s="192">
        <v>24.9</v>
      </c>
    </row>
    <row r="44" spans="2:73" ht="18.75" x14ac:dyDescent="0.3">
      <c r="B44" s="162"/>
      <c r="C44" s="140"/>
      <c r="D44" s="140"/>
      <c r="E44" s="172"/>
      <c r="F44" s="140"/>
      <c r="G44" s="140"/>
      <c r="H44" s="140"/>
      <c r="I44" s="140"/>
      <c r="J44" s="140"/>
      <c r="K44" s="140"/>
      <c r="L44" s="140"/>
      <c r="M44" s="140"/>
      <c r="N44" s="140"/>
      <c r="O44" s="163"/>
      <c r="BE44" s="31">
        <v>52.75</v>
      </c>
      <c r="BF44" s="31">
        <v>0.73099999999999998</v>
      </c>
      <c r="BG44" s="31">
        <v>0.84199999999999997</v>
      </c>
      <c r="BQ44" s="31">
        <v>52.75</v>
      </c>
      <c r="BR44" s="192">
        <v>22.9</v>
      </c>
      <c r="BU44" s="192">
        <v>24.9</v>
      </c>
    </row>
    <row r="45" spans="2:73" ht="19.5" thickBot="1" x14ac:dyDescent="0.35">
      <c r="B45" s="162"/>
      <c r="C45" s="140"/>
      <c r="D45" s="140"/>
      <c r="E45" s="172"/>
      <c r="F45" s="140"/>
      <c r="G45" s="140"/>
      <c r="H45" s="140"/>
      <c r="I45" s="140"/>
      <c r="J45" s="140"/>
      <c r="K45" s="140"/>
      <c r="L45" s="140"/>
      <c r="M45" s="140"/>
      <c r="N45" s="140"/>
      <c r="O45" s="163"/>
      <c r="BE45" s="31">
        <v>52.833333333333336</v>
      </c>
      <c r="BF45" s="31">
        <v>0.73299999999999998</v>
      </c>
      <c r="BG45" s="31">
        <v>0.84399999999999997</v>
      </c>
      <c r="BN45" s="31">
        <f>((M14*365)+N14)</f>
        <v>10950</v>
      </c>
      <c r="BO45" s="31" t="s">
        <v>161</v>
      </c>
      <c r="BQ45" s="31">
        <v>52.833333333333336</v>
      </c>
      <c r="BR45" s="192">
        <v>22.9</v>
      </c>
      <c r="BU45" s="192">
        <v>24.8</v>
      </c>
    </row>
    <row r="46" spans="2:73" ht="20.25" thickTop="1" thickBot="1" x14ac:dyDescent="0.35">
      <c r="B46" s="162"/>
      <c r="C46" s="140" t="s">
        <v>102</v>
      </c>
      <c r="D46" s="140"/>
      <c r="E46" s="183">
        <f ca="1">((N41*20)/1073100)</f>
        <v>0.41506851652601856</v>
      </c>
      <c r="F46" s="140"/>
      <c r="G46" s="140"/>
      <c r="H46" s="140"/>
      <c r="I46" s="140"/>
      <c r="J46" s="140"/>
      <c r="K46" s="140"/>
      <c r="L46" s="140"/>
      <c r="M46" s="140"/>
      <c r="N46" s="140"/>
      <c r="O46" s="163"/>
      <c r="R46" s="31">
        <f>ROUNDDOWN(((E41*30/7)-(E43*9/14))/12,0)</f>
        <v>7142</v>
      </c>
      <c r="BE46" s="31">
        <v>52.916666666666664</v>
      </c>
      <c r="BF46" s="31">
        <v>0.73599999999999999</v>
      </c>
      <c r="BG46" s="31">
        <v>0.84499999999999997</v>
      </c>
      <c r="BN46" s="31">
        <f>BN45/365</f>
        <v>30</v>
      </c>
      <c r="BO46" s="31" t="s">
        <v>162</v>
      </c>
      <c r="BQ46" s="31">
        <v>52.916666666666664</v>
      </c>
      <c r="BR46" s="192">
        <v>22.8</v>
      </c>
      <c r="BU46" s="192">
        <v>24.8</v>
      </c>
    </row>
    <row r="47" spans="2:73" ht="16.5" thickTop="1" thickBot="1" x14ac:dyDescent="0.3">
      <c r="B47" s="170"/>
      <c r="C47" s="165"/>
      <c r="D47" s="165"/>
      <c r="E47" s="165"/>
      <c r="F47" s="165"/>
      <c r="G47" s="165"/>
      <c r="H47" s="165"/>
      <c r="I47" s="165"/>
      <c r="J47" s="165"/>
      <c r="K47" s="165"/>
      <c r="L47" s="165"/>
      <c r="M47" s="165"/>
      <c r="N47" s="165"/>
      <c r="O47" s="166"/>
      <c r="BE47" s="31">
        <v>53</v>
      </c>
      <c r="BF47" s="31">
        <v>0.73799999999999999</v>
      </c>
      <c r="BG47" s="31">
        <v>0.84699999999999998</v>
      </c>
      <c r="BN47" s="31">
        <f>IF(BN46&gt;=30,30,BN46)</f>
        <v>30</v>
      </c>
      <c r="BO47" s="31" t="s">
        <v>163</v>
      </c>
      <c r="BQ47" s="31">
        <v>53</v>
      </c>
      <c r="BR47" s="192">
        <v>22.8</v>
      </c>
      <c r="BU47" s="192">
        <v>24.7</v>
      </c>
    </row>
    <row r="48" spans="2:73" ht="15.75" thickTop="1" x14ac:dyDescent="0.25">
      <c r="B48" s="167"/>
      <c r="C48" s="160"/>
      <c r="D48" s="160"/>
      <c r="E48" s="160"/>
      <c r="F48" s="160"/>
      <c r="G48" s="160"/>
      <c r="H48" s="160"/>
      <c r="I48" s="160"/>
      <c r="J48" s="160"/>
      <c r="K48" s="160"/>
      <c r="L48" s="160"/>
      <c r="M48" s="160"/>
      <c r="N48" s="160"/>
      <c r="O48" s="161"/>
      <c r="BE48" s="31">
        <v>53.083333333333336</v>
      </c>
      <c r="BF48" s="31">
        <v>0.74</v>
      </c>
      <c r="BG48" s="31">
        <v>0.84899999999999998</v>
      </c>
      <c r="BN48" s="31">
        <f>BN45+BN26-BN25</f>
        <v>14238</v>
      </c>
      <c r="BQ48" s="31">
        <v>53.083333333333336</v>
      </c>
      <c r="BR48" s="192">
        <v>22.7</v>
      </c>
      <c r="BU48" s="192">
        <v>24.7</v>
      </c>
    </row>
    <row r="49" spans="2:73" ht="21" x14ac:dyDescent="0.35">
      <c r="B49" s="168" t="s">
        <v>141</v>
      </c>
      <c r="C49" s="173"/>
      <c r="D49" s="173"/>
      <c r="E49" s="173"/>
      <c r="F49" s="173"/>
      <c r="G49" s="173"/>
      <c r="H49" s="173"/>
      <c r="I49" s="123"/>
      <c r="J49" s="123"/>
      <c r="K49" s="123"/>
      <c r="L49" s="123"/>
      <c r="M49" s="123"/>
      <c r="N49" s="123"/>
      <c r="O49" s="163"/>
      <c r="BE49" s="31">
        <v>53.166666666666664</v>
      </c>
      <c r="BF49" s="31">
        <v>0.74299999999999999</v>
      </c>
      <c r="BG49" s="31">
        <v>0.85</v>
      </c>
      <c r="BN49" s="31">
        <f>BN48/365</f>
        <v>39.008219178082193</v>
      </c>
      <c r="BQ49" s="31">
        <v>53.166666666666664</v>
      </c>
      <c r="BR49" s="192">
        <v>22.7</v>
      </c>
      <c r="BU49" s="192">
        <v>24.6</v>
      </c>
    </row>
    <row r="50" spans="2:73" x14ac:dyDescent="0.25">
      <c r="B50" s="169"/>
      <c r="C50" s="123"/>
      <c r="D50" s="123"/>
      <c r="E50" s="123"/>
      <c r="F50" s="123"/>
      <c r="G50" s="123"/>
      <c r="H50" s="123"/>
      <c r="I50" s="123"/>
      <c r="J50" s="123"/>
      <c r="K50" s="123"/>
      <c r="L50" s="123"/>
      <c r="M50" s="123"/>
      <c r="N50" s="123"/>
      <c r="O50" s="163"/>
      <c r="BE50" s="31">
        <v>53.25</v>
      </c>
      <c r="BF50" s="31">
        <v>0.745</v>
      </c>
      <c r="BG50" s="31">
        <v>0.85199999999999998</v>
      </c>
      <c r="BN50" s="31">
        <f>IF(BN49&gt;=30,30,BN49)</f>
        <v>30</v>
      </c>
      <c r="BQ50" s="31">
        <v>53.25</v>
      </c>
      <c r="BR50" s="192">
        <v>22.7</v>
      </c>
      <c r="BU50" s="192">
        <v>24.6</v>
      </c>
    </row>
    <row r="51" spans="2:73" ht="18.75" x14ac:dyDescent="0.3">
      <c r="B51" s="169"/>
      <c r="C51" s="140" t="s">
        <v>138</v>
      </c>
      <c r="D51" s="140"/>
      <c r="E51" s="140"/>
      <c r="F51" s="140"/>
      <c r="G51" s="140" t="s">
        <v>98</v>
      </c>
      <c r="H51" s="140"/>
      <c r="I51" s="140"/>
      <c r="J51" s="140"/>
      <c r="K51" s="140"/>
      <c r="L51" s="140" t="s">
        <v>99</v>
      </c>
      <c r="M51" s="140"/>
      <c r="N51" s="140"/>
      <c r="O51" s="174"/>
      <c r="BE51" s="31">
        <v>53.333333333333336</v>
      </c>
      <c r="BF51" s="31">
        <v>0.748</v>
      </c>
      <c r="BG51" s="31">
        <v>0.85399999999999998</v>
      </c>
      <c r="BN51" s="31">
        <f>BN50*365</f>
        <v>10950</v>
      </c>
      <c r="BQ51" s="31">
        <v>53.333333333333336</v>
      </c>
      <c r="BR51" s="192">
        <v>22.6</v>
      </c>
      <c r="BU51" s="192">
        <v>24.5</v>
      </c>
    </row>
    <row r="52" spans="2:73" ht="19.5" thickBot="1" x14ac:dyDescent="0.35">
      <c r="B52" s="169"/>
      <c r="C52" s="140"/>
      <c r="D52" s="140"/>
      <c r="E52" s="140"/>
      <c r="F52" s="140"/>
      <c r="G52" s="140"/>
      <c r="H52" s="140"/>
      <c r="I52" s="140"/>
      <c r="J52" s="140"/>
      <c r="K52" s="140"/>
      <c r="L52" s="140"/>
      <c r="M52" s="140"/>
      <c r="N52" s="140"/>
      <c r="O52" s="174"/>
      <c r="BE52" s="31">
        <v>53.416666666666664</v>
      </c>
      <c r="BF52" s="31">
        <v>0.75</v>
      </c>
      <c r="BG52" s="31">
        <v>0.85599999999999998</v>
      </c>
      <c r="BQ52" s="31">
        <v>53.416666666666664</v>
      </c>
      <c r="BR52" s="192">
        <v>22.6</v>
      </c>
      <c r="BU52" s="192">
        <v>24.5</v>
      </c>
    </row>
    <row r="53" spans="2:73" ht="20.25" thickTop="1" thickBot="1" x14ac:dyDescent="0.35">
      <c r="B53" s="169"/>
      <c r="C53" s="140" t="s">
        <v>100</v>
      </c>
      <c r="D53" s="140"/>
      <c r="E53" s="171">
        <f>E41-R38</f>
        <v>15000</v>
      </c>
      <c r="F53" s="140"/>
      <c r="G53" s="140" t="s">
        <v>100</v>
      </c>
      <c r="H53" s="140"/>
      <c r="I53" s="171">
        <f ca="1">I41-U38</f>
        <v>1702.8759406526435</v>
      </c>
      <c r="J53" s="140"/>
      <c r="K53" s="140"/>
      <c r="L53" s="140" t="s">
        <v>100</v>
      </c>
      <c r="M53" s="140"/>
      <c r="N53" s="171">
        <f ca="1">E53+I53</f>
        <v>16702.875940652644</v>
      </c>
      <c r="O53" s="174"/>
      <c r="BE53" s="31">
        <v>53.5</v>
      </c>
      <c r="BF53" s="31">
        <v>0.753</v>
      </c>
      <c r="BG53" s="31">
        <v>0.85699999999999998</v>
      </c>
      <c r="BQ53" s="31">
        <v>53.5</v>
      </c>
      <c r="BR53" s="192">
        <v>22.6</v>
      </c>
      <c r="BU53" s="192">
        <v>24.5</v>
      </c>
    </row>
    <row r="54" spans="2:73" ht="20.25" thickTop="1" thickBot="1" x14ac:dyDescent="0.35">
      <c r="B54" s="169"/>
      <c r="C54" s="140"/>
      <c r="D54" s="140"/>
      <c r="E54" s="172"/>
      <c r="F54" s="140"/>
      <c r="G54" s="140"/>
      <c r="H54" s="140"/>
      <c r="I54" s="172"/>
      <c r="J54" s="140"/>
      <c r="K54" s="140"/>
      <c r="L54" s="140"/>
      <c r="M54" s="140"/>
      <c r="N54" s="172"/>
      <c r="O54" s="174"/>
      <c r="BE54" s="31">
        <v>53.583333333333336</v>
      </c>
      <c r="BF54" s="31">
        <v>0.755</v>
      </c>
      <c r="BG54" s="31">
        <v>0.85899999999999999</v>
      </c>
      <c r="BQ54" s="31">
        <v>53.583333333333336</v>
      </c>
      <c r="BR54" s="192">
        <v>22.5</v>
      </c>
      <c r="BU54" s="192">
        <v>24.4</v>
      </c>
    </row>
    <row r="55" spans="2:73" ht="20.25" thickTop="1" thickBot="1" x14ac:dyDescent="0.35">
      <c r="B55" s="169"/>
      <c r="C55" s="140" t="s">
        <v>101</v>
      </c>
      <c r="D55" s="140"/>
      <c r="E55" s="171">
        <f>AX23</f>
        <v>118000</v>
      </c>
      <c r="F55" s="140"/>
      <c r="G55" s="140" t="s">
        <v>101</v>
      </c>
      <c r="H55" s="140"/>
      <c r="I55" s="171">
        <f ca="1">U40</f>
        <v>6811.5037626105741</v>
      </c>
      <c r="J55" s="140"/>
      <c r="K55" s="140"/>
      <c r="L55" s="140" t="s">
        <v>101</v>
      </c>
      <c r="M55" s="140"/>
      <c r="N55" s="171">
        <f ca="1">E55+I55</f>
        <v>124811.50376261058</v>
      </c>
      <c r="O55" s="174"/>
      <c r="BE55" s="31">
        <v>53.666666666666664</v>
      </c>
      <c r="BF55" s="31">
        <v>0.75800000000000001</v>
      </c>
      <c r="BG55" s="31">
        <v>0.86099999999999999</v>
      </c>
      <c r="BQ55" s="31">
        <v>53.666666666666664</v>
      </c>
      <c r="BR55" s="192">
        <v>22.5</v>
      </c>
      <c r="BU55" s="192">
        <v>24.4</v>
      </c>
    </row>
    <row r="56" spans="2:73" ht="19.5" thickTop="1" x14ac:dyDescent="0.3">
      <c r="B56" s="169"/>
      <c r="C56" s="140"/>
      <c r="D56" s="140"/>
      <c r="E56" s="172"/>
      <c r="F56" s="140"/>
      <c r="G56" s="140"/>
      <c r="H56" s="140"/>
      <c r="I56" s="140"/>
      <c r="J56" s="140"/>
      <c r="K56" s="140"/>
      <c r="L56" s="140"/>
      <c r="M56" s="140"/>
      <c r="N56" s="140"/>
      <c r="O56" s="174"/>
      <c r="BE56" s="31">
        <v>53.75</v>
      </c>
      <c r="BF56" s="31">
        <v>0.76</v>
      </c>
      <c r="BG56" s="31">
        <v>0.86199999999999999</v>
      </c>
      <c r="BQ56" s="31">
        <v>53.75</v>
      </c>
      <c r="BR56" s="192">
        <v>22.5</v>
      </c>
      <c r="BU56" s="192">
        <v>24.3</v>
      </c>
    </row>
    <row r="57" spans="2:73" ht="19.5" thickBot="1" x14ac:dyDescent="0.35">
      <c r="B57" s="169"/>
      <c r="C57" s="140"/>
      <c r="D57" s="140"/>
      <c r="E57" s="172"/>
      <c r="F57" s="140"/>
      <c r="G57" s="140"/>
      <c r="H57" s="140"/>
      <c r="I57" s="140"/>
      <c r="J57" s="140"/>
      <c r="K57" s="140"/>
      <c r="L57" s="140"/>
      <c r="M57" s="140"/>
      <c r="N57" s="140"/>
      <c r="O57" s="174"/>
      <c r="BE57" s="31">
        <v>53.833333333333336</v>
      </c>
      <c r="BF57" s="31">
        <v>0.76300000000000001</v>
      </c>
      <c r="BG57" s="31">
        <v>0.86399999999999999</v>
      </c>
      <c r="BQ57" s="31">
        <v>53.833333333333336</v>
      </c>
      <c r="BR57" s="192">
        <v>22.4</v>
      </c>
      <c r="BU57" s="192">
        <v>24.3</v>
      </c>
    </row>
    <row r="58" spans="2:73" ht="20.25" thickTop="1" thickBot="1" x14ac:dyDescent="0.35">
      <c r="B58" s="169"/>
      <c r="C58" s="140" t="s">
        <v>102</v>
      </c>
      <c r="D58" s="140"/>
      <c r="E58" s="183">
        <f ca="1">((N53*20)+N55)/1073100</f>
        <v>0.42761068174043754</v>
      </c>
      <c r="F58" s="140"/>
      <c r="G58" s="140"/>
      <c r="H58" s="140"/>
      <c r="I58" s="140"/>
      <c r="J58" s="140"/>
      <c r="K58" s="140"/>
      <c r="L58" s="140"/>
      <c r="M58" s="140"/>
      <c r="N58" s="140"/>
      <c r="O58" s="174"/>
      <c r="BE58" s="31">
        <v>53.916666666666664</v>
      </c>
      <c r="BF58" s="31">
        <v>0.76500000000000001</v>
      </c>
      <c r="BG58" s="31">
        <v>0.86599999999999999</v>
      </c>
      <c r="BQ58" s="31">
        <v>53.916666666666664</v>
      </c>
      <c r="BR58" s="192">
        <v>22.4</v>
      </c>
      <c r="BU58" s="192">
        <v>24.2</v>
      </c>
    </row>
    <row r="59" spans="2:73" ht="20.25" thickTop="1" thickBot="1" x14ac:dyDescent="0.35">
      <c r="B59" s="170"/>
      <c r="C59" s="164"/>
      <c r="D59" s="164"/>
      <c r="E59" s="164"/>
      <c r="F59" s="164"/>
      <c r="G59" s="164"/>
      <c r="H59" s="164"/>
      <c r="I59" s="164"/>
      <c r="J59" s="164"/>
      <c r="K59" s="164"/>
      <c r="L59" s="164"/>
      <c r="M59" s="164"/>
      <c r="N59" s="164"/>
      <c r="O59" s="175"/>
      <c r="R59" s="196">
        <f>G68/AX19</f>
        <v>0</v>
      </c>
      <c r="BE59" s="31">
        <v>54</v>
      </c>
      <c r="BF59" s="31">
        <v>0.76800000000000002</v>
      </c>
      <c r="BG59" s="31">
        <v>0.86699999999999999</v>
      </c>
      <c r="BQ59" s="31">
        <v>54</v>
      </c>
      <c r="BR59" s="192">
        <v>22.3</v>
      </c>
      <c r="BU59" s="192">
        <v>24.2</v>
      </c>
    </row>
    <row r="60" spans="2:73" ht="19.5" thickTop="1" x14ac:dyDescent="0.3">
      <c r="B60" s="167"/>
      <c r="C60" s="176"/>
      <c r="D60" s="176"/>
      <c r="E60" s="176"/>
      <c r="F60" s="176"/>
      <c r="G60" s="176"/>
      <c r="H60" s="176"/>
      <c r="I60" s="176"/>
      <c r="J60" s="176"/>
      <c r="K60" s="176"/>
      <c r="L60" s="176"/>
      <c r="M60" s="176"/>
      <c r="N60" s="176"/>
      <c r="O60" s="177"/>
      <c r="Q60" s="31">
        <f ca="1">ROUNDDOWN(I41*(20/4.666)/12,0)</f>
        <v>811</v>
      </c>
      <c r="BE60" s="31">
        <v>54.083333333333336</v>
      </c>
      <c r="BF60" s="31">
        <v>0.77100000000000002</v>
      </c>
      <c r="BG60" s="31">
        <v>0.86899999999999999</v>
      </c>
      <c r="BQ60" s="31">
        <v>54.083333333333336</v>
      </c>
      <c r="BR60" s="192">
        <v>22.3</v>
      </c>
      <c r="BU60" s="192">
        <v>24.1</v>
      </c>
    </row>
    <row r="61" spans="2:73" ht="21" x14ac:dyDescent="0.35">
      <c r="B61" s="168" t="s">
        <v>103</v>
      </c>
      <c r="C61" s="173"/>
      <c r="D61" s="173"/>
      <c r="E61" s="173"/>
      <c r="F61" s="173"/>
      <c r="G61" s="173"/>
      <c r="H61" s="173"/>
      <c r="I61" s="140"/>
      <c r="J61" s="140"/>
      <c r="K61" s="140"/>
      <c r="L61" s="140"/>
      <c r="M61" s="140"/>
      <c r="N61" s="140"/>
      <c r="O61" s="174"/>
      <c r="Q61" s="31">
        <f ca="1">ROUNDDOWN(Q60,0)*12</f>
        <v>9732</v>
      </c>
      <c r="BE61" s="31">
        <v>54.166666666666664</v>
      </c>
      <c r="BF61" s="31">
        <v>0.77300000000000002</v>
      </c>
      <c r="BG61" s="31">
        <v>0.871</v>
      </c>
      <c r="BQ61" s="31">
        <v>54.166666666666664</v>
      </c>
      <c r="BR61" s="192">
        <v>22.3</v>
      </c>
      <c r="BU61" s="192">
        <v>24.1</v>
      </c>
    </row>
    <row r="62" spans="2:73" ht="18.75" x14ac:dyDescent="0.3">
      <c r="B62" s="169"/>
      <c r="C62" s="140"/>
      <c r="D62" s="140"/>
      <c r="E62" s="140"/>
      <c r="F62" s="140"/>
      <c r="G62" s="140"/>
      <c r="H62" s="140"/>
      <c r="I62" s="140"/>
      <c r="J62" s="140"/>
      <c r="K62" s="140"/>
      <c r="L62" s="140"/>
      <c r="M62" s="140"/>
      <c r="N62" s="140"/>
      <c r="O62" s="174"/>
      <c r="Q62" s="31">
        <f ca="1">I41-Q60</f>
        <v>1459.5012542035247</v>
      </c>
      <c r="BE62" s="31">
        <v>54.25</v>
      </c>
      <c r="BF62" s="31">
        <v>0.77600000000000002</v>
      </c>
      <c r="BG62" s="31">
        <v>0.873</v>
      </c>
      <c r="BQ62" s="31">
        <v>54.25</v>
      </c>
      <c r="BR62" s="192">
        <v>22.2</v>
      </c>
      <c r="BU62" s="192">
        <v>24</v>
      </c>
    </row>
    <row r="63" spans="2:73" ht="18.75" x14ac:dyDescent="0.3">
      <c r="B63" s="178" t="s">
        <v>150</v>
      </c>
      <c r="C63" s="59"/>
      <c r="D63" s="59"/>
      <c r="E63" s="59"/>
      <c r="F63" s="59"/>
      <c r="G63" s="59"/>
      <c r="H63" s="59"/>
      <c r="I63" s="59"/>
      <c r="J63" s="59"/>
      <c r="K63" s="59"/>
      <c r="L63" s="59"/>
      <c r="M63" s="59"/>
      <c r="N63" s="59"/>
      <c r="O63" s="174"/>
      <c r="BE63" s="31">
        <v>54.333333333333336</v>
      </c>
      <c r="BF63" s="31">
        <v>0.77900000000000003</v>
      </c>
      <c r="BG63" s="31">
        <v>0.874</v>
      </c>
      <c r="BQ63" s="31">
        <v>54.333333333333336</v>
      </c>
      <c r="BR63" s="192">
        <v>22.2</v>
      </c>
      <c r="BU63" s="192">
        <v>24</v>
      </c>
    </row>
    <row r="64" spans="2:73" ht="18.75" x14ac:dyDescent="0.3">
      <c r="B64" s="178" t="s">
        <v>104</v>
      </c>
      <c r="C64" s="59"/>
      <c r="D64" s="59"/>
      <c r="E64" s="59"/>
      <c r="F64" s="59"/>
      <c r="G64" s="59"/>
      <c r="H64" s="59"/>
      <c r="I64" s="59"/>
      <c r="J64" s="59"/>
      <c r="K64" s="59"/>
      <c r="L64" s="59"/>
      <c r="M64" s="59"/>
      <c r="N64" s="59"/>
      <c r="O64" s="174"/>
      <c r="BE64" s="31">
        <v>54.416666666666664</v>
      </c>
      <c r="BF64" s="31">
        <v>0.78100000000000003</v>
      </c>
      <c r="BG64" s="31">
        <v>0.876</v>
      </c>
      <c r="BQ64" s="31">
        <v>54.416666666666664</v>
      </c>
      <c r="BR64" s="192">
        <v>22.2</v>
      </c>
      <c r="BU64" s="192">
        <v>24</v>
      </c>
    </row>
    <row r="65" spans="2:73" ht="18.75" x14ac:dyDescent="0.3">
      <c r="B65" s="169"/>
      <c r="C65" s="140"/>
      <c r="D65" s="140"/>
      <c r="E65" s="140"/>
      <c r="F65" s="140"/>
      <c r="G65" s="140"/>
      <c r="H65" s="140"/>
      <c r="I65" s="140"/>
      <c r="J65" s="140"/>
      <c r="K65" s="140"/>
      <c r="L65" s="140"/>
      <c r="M65" s="140"/>
      <c r="N65" s="140"/>
      <c r="O65" s="174"/>
      <c r="BE65" s="31">
        <v>54.5</v>
      </c>
      <c r="BF65" s="31">
        <v>0.78400000000000003</v>
      </c>
      <c r="BG65" s="31">
        <v>0.878</v>
      </c>
      <c r="BQ65" s="31">
        <v>54.5</v>
      </c>
      <c r="BR65" s="192">
        <v>22.1</v>
      </c>
      <c r="BU65" s="192">
        <v>23.9</v>
      </c>
    </row>
    <row r="66" spans="2:73" ht="18.75" x14ac:dyDescent="0.3">
      <c r="B66" s="169"/>
      <c r="C66" s="140"/>
      <c r="D66" s="140"/>
      <c r="E66" s="140"/>
      <c r="F66" s="140"/>
      <c r="G66" s="140"/>
      <c r="H66" s="140"/>
      <c r="I66" s="140"/>
      <c r="J66" s="140"/>
      <c r="K66" s="140"/>
      <c r="L66" s="140"/>
      <c r="M66" s="140"/>
      <c r="N66" s="140"/>
      <c r="O66" s="174"/>
      <c r="BE66" s="31">
        <v>54.583333333333336</v>
      </c>
      <c r="BF66" s="31">
        <v>0.78700000000000003</v>
      </c>
      <c r="BG66" s="31">
        <v>0.88</v>
      </c>
      <c r="BQ66" s="31">
        <v>54.583333333333336</v>
      </c>
      <c r="BR66" s="192">
        <v>22.1</v>
      </c>
      <c r="BU66" s="192">
        <v>23.9</v>
      </c>
    </row>
    <row r="67" spans="2:73" ht="19.5" thickBot="1" x14ac:dyDescent="0.35">
      <c r="B67" s="169"/>
      <c r="C67" s="140" t="s">
        <v>105</v>
      </c>
      <c r="D67" s="140"/>
      <c r="E67" s="140"/>
      <c r="F67" s="140"/>
      <c r="G67" s="140" t="s">
        <v>138</v>
      </c>
      <c r="H67" s="140"/>
      <c r="I67" s="140" t="s">
        <v>98</v>
      </c>
      <c r="J67" s="140"/>
      <c r="K67" s="140"/>
      <c r="L67" s="140"/>
      <c r="M67" s="140"/>
      <c r="N67" s="140"/>
      <c r="O67" s="174"/>
      <c r="BE67" s="31">
        <v>54.666666666666664</v>
      </c>
      <c r="BF67" s="31">
        <v>0.78900000000000003</v>
      </c>
      <c r="BG67" s="31">
        <v>0.88100000000000001</v>
      </c>
      <c r="BQ67" s="31">
        <v>54.666666666666664</v>
      </c>
      <c r="BR67" s="192">
        <v>22</v>
      </c>
      <c r="BU67" s="192">
        <v>23.8</v>
      </c>
    </row>
    <row r="68" spans="2:73" ht="20.25" thickTop="1" thickBot="1" x14ac:dyDescent="0.35">
      <c r="B68" s="169"/>
      <c r="C68" s="140"/>
      <c r="D68" s="140"/>
      <c r="E68" s="140"/>
      <c r="F68" s="140"/>
      <c r="G68" s="182">
        <v>0</v>
      </c>
      <c r="H68" s="172"/>
      <c r="I68" s="182">
        <v>0</v>
      </c>
      <c r="J68" s="140"/>
      <c r="K68" s="140"/>
      <c r="L68" s="140"/>
      <c r="M68" s="140"/>
      <c r="N68" s="140"/>
      <c r="O68" s="174"/>
      <c r="BE68" s="31">
        <v>54.75</v>
      </c>
      <c r="BF68" s="31">
        <v>0.79200000000000004</v>
      </c>
      <c r="BG68" s="31">
        <v>0.88300000000000001</v>
      </c>
      <c r="BQ68" s="31">
        <v>54.75</v>
      </c>
      <c r="BR68" s="192">
        <v>22</v>
      </c>
      <c r="BU68" s="192">
        <v>23.8</v>
      </c>
    </row>
    <row r="69" spans="2:73" ht="19.5" thickTop="1" x14ac:dyDescent="0.3">
      <c r="B69" s="169"/>
      <c r="C69" s="140"/>
      <c r="D69" s="140"/>
      <c r="E69" s="140"/>
      <c r="F69" s="140"/>
      <c r="G69" s="140" t="str">
        <f>IF(G68&gt;E55,"Exceeds Maximum Permitted",".")</f>
        <v>.</v>
      </c>
      <c r="H69" s="140"/>
      <c r="I69" s="140" t="str">
        <f ca="1">IF(I68&gt;I55,"Exceeds Maximum Permitted",".")</f>
        <v>.</v>
      </c>
      <c r="J69" s="140"/>
      <c r="K69" s="140"/>
      <c r="L69" s="140"/>
      <c r="M69" s="140"/>
      <c r="N69" s="140"/>
      <c r="O69" s="174"/>
      <c r="BE69" s="31">
        <v>54.833333333333336</v>
      </c>
      <c r="BF69" s="31">
        <v>0.79500000000000004</v>
      </c>
      <c r="BG69" s="31">
        <v>0.88500000000000001</v>
      </c>
      <c r="BQ69" s="31">
        <v>54.833333333333336</v>
      </c>
      <c r="BR69" s="192">
        <v>22</v>
      </c>
      <c r="BU69" s="192">
        <v>23.7</v>
      </c>
    </row>
    <row r="70" spans="2:73" ht="18.75" x14ac:dyDescent="0.3">
      <c r="B70" s="169"/>
      <c r="C70" s="140"/>
      <c r="D70" s="140"/>
      <c r="E70" s="140"/>
      <c r="F70" s="140"/>
      <c r="G70" s="140"/>
      <c r="H70" s="140"/>
      <c r="I70" s="140"/>
      <c r="J70" s="140"/>
      <c r="K70" s="140"/>
      <c r="L70" s="140"/>
      <c r="M70" s="140"/>
      <c r="N70" s="140"/>
      <c r="O70" s="174"/>
      <c r="BE70" s="31">
        <v>54.916666666666664</v>
      </c>
      <c r="BF70" s="31">
        <v>0.79800000000000004</v>
      </c>
      <c r="BG70" s="31">
        <v>0.88600000000000001</v>
      </c>
      <c r="BQ70" s="31">
        <v>54.916666666666664</v>
      </c>
      <c r="BR70" s="192">
        <v>21.9</v>
      </c>
      <c r="BU70" s="192">
        <v>23.7</v>
      </c>
    </row>
    <row r="71" spans="2:73" ht="18.75" x14ac:dyDescent="0.3">
      <c r="B71" s="169"/>
      <c r="C71" s="140" t="s">
        <v>138</v>
      </c>
      <c r="D71" s="140"/>
      <c r="E71" s="140"/>
      <c r="F71" s="140"/>
      <c r="G71" s="140" t="s">
        <v>98</v>
      </c>
      <c r="H71" s="140"/>
      <c r="I71" s="140"/>
      <c r="J71" s="140"/>
      <c r="K71" s="140"/>
      <c r="L71" s="140" t="s">
        <v>99</v>
      </c>
      <c r="M71" s="140"/>
      <c r="N71" s="140"/>
      <c r="O71" s="174"/>
      <c r="BE71" s="31">
        <v>55</v>
      </c>
      <c r="BF71" s="31">
        <v>0.8</v>
      </c>
      <c r="BG71" s="31">
        <v>0.88800000000000001</v>
      </c>
      <c r="BQ71" s="31">
        <v>55</v>
      </c>
      <c r="BR71" s="192">
        <v>21.9</v>
      </c>
      <c r="BU71" s="192">
        <v>23.6</v>
      </c>
    </row>
    <row r="72" spans="2:73" ht="19.5" thickBot="1" x14ac:dyDescent="0.35">
      <c r="B72" s="169"/>
      <c r="C72" s="140"/>
      <c r="D72" s="140"/>
      <c r="E72" s="140"/>
      <c r="F72" s="140"/>
      <c r="G72" s="140"/>
      <c r="H72" s="140"/>
      <c r="I72" s="140"/>
      <c r="J72" s="140"/>
      <c r="K72" s="140"/>
      <c r="L72" s="140"/>
      <c r="M72" s="140"/>
      <c r="N72" s="140"/>
      <c r="O72" s="174"/>
      <c r="R72" s="31">
        <f>I68/12</f>
        <v>0</v>
      </c>
      <c r="BE72" s="31">
        <v>55.083333333333336</v>
      </c>
      <c r="BF72" s="31">
        <v>0.80300000000000005</v>
      </c>
      <c r="BG72" s="31">
        <v>0.89</v>
      </c>
      <c r="BQ72" s="31">
        <v>55.083333333333336</v>
      </c>
      <c r="BR72" s="192">
        <v>21.8</v>
      </c>
      <c r="BU72" s="192">
        <v>23.6</v>
      </c>
    </row>
    <row r="73" spans="2:73" ht="20.25" thickTop="1" thickBot="1" x14ac:dyDescent="0.35">
      <c r="B73" s="169"/>
      <c r="C73" s="140" t="s">
        <v>100</v>
      </c>
      <c r="D73" s="140"/>
      <c r="E73" s="171">
        <f>IF(G69=".",E41-R59,"Invalid")</f>
        <v>20000</v>
      </c>
      <c r="F73" s="140"/>
      <c r="G73" s="140" t="s">
        <v>100</v>
      </c>
      <c r="H73" s="140"/>
      <c r="I73" s="171">
        <f ca="1">IF(G69=".",I41-R72,"Invalid")</f>
        <v>2270.5012542035247</v>
      </c>
      <c r="J73" s="140"/>
      <c r="K73" s="140"/>
      <c r="L73" s="140" t="s">
        <v>100</v>
      </c>
      <c r="M73" s="140"/>
      <c r="N73" s="171">
        <f ca="1">E73+I73</f>
        <v>22270.501254203526</v>
      </c>
      <c r="O73" s="174"/>
      <c r="BE73" s="31">
        <v>55.166666666666664</v>
      </c>
      <c r="BF73" s="31">
        <v>0.80600000000000005</v>
      </c>
      <c r="BG73" s="31">
        <v>0.89200000000000002</v>
      </c>
      <c r="BQ73" s="31">
        <v>55.166666666666664</v>
      </c>
      <c r="BR73" s="192">
        <v>21.8</v>
      </c>
      <c r="BU73" s="192">
        <v>23.5</v>
      </c>
    </row>
    <row r="74" spans="2:73" ht="20.25" thickTop="1" thickBot="1" x14ac:dyDescent="0.35">
      <c r="B74" s="169"/>
      <c r="C74" s="140"/>
      <c r="D74" s="140"/>
      <c r="E74" s="172"/>
      <c r="F74" s="140"/>
      <c r="G74" s="140"/>
      <c r="H74" s="140"/>
      <c r="I74" s="172"/>
      <c r="J74" s="140"/>
      <c r="K74" s="140"/>
      <c r="L74" s="140"/>
      <c r="M74" s="140"/>
      <c r="N74" s="172"/>
      <c r="O74" s="174"/>
      <c r="BE74" s="31">
        <v>55.25</v>
      </c>
      <c r="BF74" s="31">
        <v>0.80900000000000005</v>
      </c>
      <c r="BG74" s="31">
        <v>0.89400000000000002</v>
      </c>
      <c r="BQ74" s="31">
        <v>55.25</v>
      </c>
      <c r="BR74" s="192">
        <v>21.8</v>
      </c>
      <c r="BU74" s="192">
        <v>23.5</v>
      </c>
    </row>
    <row r="75" spans="2:73" ht="20.25" thickTop="1" thickBot="1" x14ac:dyDescent="0.35">
      <c r="B75" s="169"/>
      <c r="C75" s="140" t="s">
        <v>101</v>
      </c>
      <c r="D75" s="140"/>
      <c r="E75" s="171">
        <f>IF(G69=".",E43+(R59*AX19),"Invalid")</f>
        <v>0</v>
      </c>
      <c r="F75" s="140"/>
      <c r="G75" s="140" t="s">
        <v>101</v>
      </c>
      <c r="H75" s="140"/>
      <c r="I75" s="171">
        <f ca="1">IF(I69=".",I68,"Invalid")</f>
        <v>0</v>
      </c>
      <c r="J75" s="140"/>
      <c r="K75" s="140"/>
      <c r="L75" s="140" t="s">
        <v>101</v>
      </c>
      <c r="M75" s="140"/>
      <c r="N75" s="171">
        <f ca="1">E75+I75</f>
        <v>0</v>
      </c>
      <c r="O75" s="174"/>
      <c r="BE75" s="31">
        <v>55.333333333333336</v>
      </c>
      <c r="BF75" s="31">
        <v>0.81200000000000006</v>
      </c>
      <c r="BG75" s="31">
        <v>0.89500000000000002</v>
      </c>
      <c r="BQ75" s="31">
        <v>55.333333333333336</v>
      </c>
      <c r="BR75" s="192">
        <v>21.7</v>
      </c>
      <c r="BU75" s="192">
        <v>23.4</v>
      </c>
    </row>
    <row r="76" spans="2:73" ht="19.5" thickTop="1" x14ac:dyDescent="0.3">
      <c r="B76" s="169"/>
      <c r="C76" s="140"/>
      <c r="D76" s="140"/>
      <c r="E76" s="140"/>
      <c r="F76" s="140"/>
      <c r="G76" s="140"/>
      <c r="H76" s="140"/>
      <c r="I76" s="172"/>
      <c r="J76" s="140"/>
      <c r="K76" s="140"/>
      <c r="L76" s="140"/>
      <c r="M76" s="140"/>
      <c r="N76" s="140"/>
      <c r="O76" s="174"/>
      <c r="BE76" s="31">
        <v>55.416666666666664</v>
      </c>
      <c r="BF76" s="31">
        <v>0.81499999999999995</v>
      </c>
      <c r="BG76" s="31">
        <v>0.89700000000000002</v>
      </c>
      <c r="BQ76" s="31">
        <v>55.416666666666664</v>
      </c>
      <c r="BR76" s="192">
        <v>21.7</v>
      </c>
      <c r="BU76" s="192">
        <v>23.4</v>
      </c>
    </row>
    <row r="77" spans="2:73" ht="18.75" x14ac:dyDescent="0.3">
      <c r="B77" s="169"/>
      <c r="C77" s="140"/>
      <c r="D77" s="140"/>
      <c r="E77" s="140"/>
      <c r="F77" s="140"/>
      <c r="G77" s="140"/>
      <c r="H77" s="140"/>
      <c r="I77" s="140"/>
      <c r="J77" s="140"/>
      <c r="K77" s="140"/>
      <c r="L77" s="140"/>
      <c r="M77" s="140"/>
      <c r="N77" s="140"/>
      <c r="O77" s="174"/>
      <c r="BE77" s="31">
        <v>55.5</v>
      </c>
      <c r="BF77" s="31">
        <v>0.81799999999999995</v>
      </c>
      <c r="BG77" s="31">
        <v>0.89900000000000002</v>
      </c>
      <c r="BQ77" s="31">
        <v>55.5</v>
      </c>
      <c r="BR77" s="192">
        <v>21.6</v>
      </c>
      <c r="BU77" s="192">
        <v>23.3</v>
      </c>
    </row>
    <row r="78" spans="2:73" ht="19.5" thickBot="1" x14ac:dyDescent="0.35">
      <c r="B78" s="184"/>
      <c r="C78" s="13"/>
      <c r="D78" s="13"/>
      <c r="E78" s="13"/>
      <c r="F78" s="13"/>
      <c r="G78" s="13"/>
      <c r="H78" s="13"/>
      <c r="I78" s="13"/>
      <c r="J78" s="13"/>
      <c r="K78" s="13"/>
      <c r="L78" s="13"/>
      <c r="M78" s="13"/>
      <c r="N78" s="13"/>
      <c r="O78" s="187"/>
      <c r="BE78" s="31">
        <v>55.583333333333336</v>
      </c>
      <c r="BF78" s="31">
        <v>0.82099999999999995</v>
      </c>
      <c r="BG78" s="31">
        <v>0.90100000000000002</v>
      </c>
      <c r="BQ78" s="31">
        <v>55.583333333333336</v>
      </c>
      <c r="BR78" s="192">
        <v>21.6</v>
      </c>
      <c r="BU78" s="192">
        <v>23.3</v>
      </c>
    </row>
    <row r="79" spans="2:73" ht="20.25" thickTop="1" thickBot="1" x14ac:dyDescent="0.35">
      <c r="B79" s="184"/>
      <c r="C79" s="140" t="s">
        <v>102</v>
      </c>
      <c r="D79" s="13"/>
      <c r="E79" s="183">
        <f ca="1">((N73*20)+N75)/1073100</f>
        <v>0.41506851652601856</v>
      </c>
      <c r="F79" s="13"/>
      <c r="G79" s="13"/>
      <c r="H79" s="13"/>
      <c r="I79" s="13"/>
      <c r="J79" s="13"/>
      <c r="K79" s="13"/>
      <c r="L79" s="13"/>
      <c r="M79" s="13"/>
      <c r="N79" s="13"/>
      <c r="O79" s="185"/>
      <c r="BE79" s="31">
        <v>55.666666666666664</v>
      </c>
      <c r="BF79" s="31">
        <v>0.82399999999999995</v>
      </c>
      <c r="BG79" s="31">
        <v>0.90200000000000002</v>
      </c>
      <c r="BQ79" s="31">
        <v>55.666666666666664</v>
      </c>
      <c r="BR79" s="192">
        <v>21.6</v>
      </c>
      <c r="BU79" s="192">
        <v>23.2</v>
      </c>
    </row>
    <row r="80" spans="2:73" ht="16.5" thickTop="1" thickBot="1" x14ac:dyDescent="0.3">
      <c r="B80" s="179"/>
      <c r="C80" s="180"/>
      <c r="D80" s="180"/>
      <c r="E80" s="180"/>
      <c r="F80" s="180"/>
      <c r="G80" s="180"/>
      <c r="H80" s="180"/>
      <c r="I80" s="180"/>
      <c r="J80" s="180"/>
      <c r="K80" s="180"/>
      <c r="L80" s="180"/>
      <c r="M80" s="180"/>
      <c r="N80" s="180"/>
      <c r="O80" s="186"/>
      <c r="BE80" s="31">
        <v>55.75</v>
      </c>
      <c r="BF80" s="31">
        <v>0.82599999999999996</v>
      </c>
      <c r="BG80" s="31">
        <v>0.90400000000000003</v>
      </c>
      <c r="BQ80" s="31">
        <v>55.75</v>
      </c>
      <c r="BR80" s="192">
        <v>21.5</v>
      </c>
      <c r="BU80" s="192">
        <v>23.2</v>
      </c>
    </row>
    <row r="81" spans="57:73" s="192" customFormat="1" ht="15.75" thickTop="1" x14ac:dyDescent="0.25">
      <c r="BE81" s="192">
        <v>55.833333333333336</v>
      </c>
      <c r="BF81" s="192">
        <v>0.82899999999999996</v>
      </c>
      <c r="BG81" s="192">
        <v>0.90600000000000003</v>
      </c>
      <c r="BQ81" s="192">
        <v>55.833333333333336</v>
      </c>
      <c r="BR81" s="192">
        <v>21.5</v>
      </c>
      <c r="BU81" s="192">
        <v>23.1</v>
      </c>
    </row>
    <row r="82" spans="57:73" s="192" customFormat="1" x14ac:dyDescent="0.25">
      <c r="BE82" s="192">
        <v>55.916666666666664</v>
      </c>
      <c r="BF82" s="192">
        <v>0.83199999999999996</v>
      </c>
      <c r="BG82" s="192">
        <v>0.90800000000000003</v>
      </c>
      <c r="BQ82" s="192">
        <v>55.916666666666664</v>
      </c>
      <c r="BR82" s="192">
        <v>21.4</v>
      </c>
      <c r="BU82" s="192">
        <v>23.1</v>
      </c>
    </row>
    <row r="83" spans="57:73" s="192" customFormat="1" x14ac:dyDescent="0.25">
      <c r="BE83" s="192">
        <v>56</v>
      </c>
      <c r="BF83" s="192">
        <v>0.83499999999999996</v>
      </c>
      <c r="BG83" s="192">
        <v>0.90900000000000003</v>
      </c>
      <c r="BQ83" s="192">
        <v>56</v>
      </c>
      <c r="BR83" s="192">
        <v>21.4</v>
      </c>
      <c r="BU83" s="192">
        <v>23</v>
      </c>
    </row>
    <row r="84" spans="57:73" s="192" customFormat="1" x14ac:dyDescent="0.25">
      <c r="BE84" s="192">
        <v>56.083333333333336</v>
      </c>
      <c r="BF84" s="192">
        <v>0.83799999999999997</v>
      </c>
      <c r="BG84" s="192">
        <v>0.91100000000000003</v>
      </c>
      <c r="BQ84" s="192">
        <v>56.083333333333336</v>
      </c>
      <c r="BR84" s="192">
        <v>21.4</v>
      </c>
      <c r="BU84" s="192">
        <v>23</v>
      </c>
    </row>
    <row r="85" spans="57:73" s="192" customFormat="1" x14ac:dyDescent="0.25">
      <c r="BE85" s="192">
        <v>56.166666666666664</v>
      </c>
      <c r="BF85" s="192">
        <v>0.84099999999999997</v>
      </c>
      <c r="BG85" s="192">
        <v>0.91300000000000003</v>
      </c>
      <c r="BQ85" s="192">
        <v>56.166666666666664</v>
      </c>
      <c r="BR85" s="192">
        <v>21.3</v>
      </c>
      <c r="BU85" s="192">
        <v>22.9</v>
      </c>
    </row>
    <row r="86" spans="57:73" s="192" customFormat="1" x14ac:dyDescent="0.25">
      <c r="BE86" s="192">
        <v>56.25</v>
      </c>
      <c r="BF86" s="192">
        <v>0.84399999999999997</v>
      </c>
      <c r="BG86" s="192">
        <v>0.91500000000000004</v>
      </c>
      <c r="BQ86" s="192">
        <v>56.25</v>
      </c>
      <c r="BR86" s="192">
        <v>21.3</v>
      </c>
      <c r="BU86" s="192">
        <v>22.9</v>
      </c>
    </row>
    <row r="87" spans="57:73" s="192" customFormat="1" x14ac:dyDescent="0.25">
      <c r="BE87" s="192">
        <v>56.333333333333336</v>
      </c>
      <c r="BF87" s="192">
        <v>0.84799999999999998</v>
      </c>
      <c r="BG87" s="192">
        <v>0.91700000000000004</v>
      </c>
      <c r="BQ87" s="192">
        <v>56.333333333333336</v>
      </c>
      <c r="BR87" s="192">
        <v>21.2</v>
      </c>
      <c r="BU87" s="192">
        <v>22.8</v>
      </c>
    </row>
    <row r="88" spans="57:73" s="192" customFormat="1" x14ac:dyDescent="0.25">
      <c r="BE88" s="192">
        <v>56.416666666666664</v>
      </c>
      <c r="BF88" s="192">
        <v>0.85099999999999998</v>
      </c>
      <c r="BG88" s="192">
        <v>0.91900000000000004</v>
      </c>
      <c r="BQ88" s="192">
        <v>56.416666666666664</v>
      </c>
      <c r="BR88" s="192">
        <v>21.2</v>
      </c>
      <c r="BU88" s="192">
        <v>22.8</v>
      </c>
    </row>
    <row r="89" spans="57:73" s="192" customFormat="1" x14ac:dyDescent="0.25">
      <c r="BE89" s="192">
        <v>56.5</v>
      </c>
      <c r="BF89" s="192">
        <v>0.85399999999999998</v>
      </c>
      <c r="BG89" s="192">
        <v>0.92</v>
      </c>
      <c r="BQ89" s="192">
        <v>56.5</v>
      </c>
      <c r="BR89" s="192">
        <v>21.1</v>
      </c>
      <c r="BU89" s="192">
        <v>22.7</v>
      </c>
    </row>
    <row r="90" spans="57:73" s="192" customFormat="1" x14ac:dyDescent="0.25">
      <c r="BE90" s="192">
        <v>56.583333333333336</v>
      </c>
      <c r="BF90" s="192">
        <v>0.85699999999999998</v>
      </c>
      <c r="BG90" s="192">
        <v>0.92200000000000004</v>
      </c>
      <c r="BQ90" s="192">
        <v>56.583333333333336</v>
      </c>
      <c r="BR90" s="192">
        <v>21.1</v>
      </c>
      <c r="BU90" s="192">
        <v>22.7</v>
      </c>
    </row>
    <row r="91" spans="57:73" s="192" customFormat="1" x14ac:dyDescent="0.25">
      <c r="BE91" s="192">
        <v>56.666666666666664</v>
      </c>
      <c r="BF91" s="192">
        <v>0.86</v>
      </c>
      <c r="BG91" s="192">
        <v>0.92400000000000004</v>
      </c>
      <c r="BQ91" s="192">
        <v>56.666666666666664</v>
      </c>
      <c r="BR91" s="192">
        <v>21.1</v>
      </c>
      <c r="BU91" s="192">
        <v>22.6</v>
      </c>
    </row>
    <row r="92" spans="57:73" s="192" customFormat="1" x14ac:dyDescent="0.25">
      <c r="BE92" s="192">
        <v>56.75</v>
      </c>
      <c r="BF92" s="192">
        <v>0.86299999999999999</v>
      </c>
      <c r="BG92" s="192">
        <v>0.92600000000000005</v>
      </c>
      <c r="BQ92" s="192">
        <v>56.75</v>
      </c>
      <c r="BR92" s="192">
        <v>21</v>
      </c>
      <c r="BU92" s="192">
        <v>22.6</v>
      </c>
    </row>
    <row r="93" spans="57:73" s="192" customFormat="1" x14ac:dyDescent="0.25">
      <c r="BE93" s="192">
        <v>56.833333333333336</v>
      </c>
      <c r="BF93" s="192">
        <v>0.86599999999999999</v>
      </c>
      <c r="BG93" s="192">
        <v>0.92800000000000005</v>
      </c>
      <c r="BQ93" s="192">
        <v>56.833333333333336</v>
      </c>
      <c r="BR93" s="192">
        <v>21</v>
      </c>
      <c r="BU93" s="192">
        <v>22.5</v>
      </c>
    </row>
    <row r="94" spans="57:73" s="192" customFormat="1" x14ac:dyDescent="0.25">
      <c r="BE94" s="192">
        <v>56.916666666666664</v>
      </c>
      <c r="BF94" s="192">
        <v>0.86899999999999999</v>
      </c>
      <c r="BG94" s="192">
        <v>0.93</v>
      </c>
      <c r="BQ94" s="192">
        <v>56.916666666666664</v>
      </c>
      <c r="BR94" s="192">
        <v>20.9</v>
      </c>
      <c r="BU94" s="192">
        <v>22.5</v>
      </c>
    </row>
    <row r="95" spans="57:73" s="192" customFormat="1" x14ac:dyDescent="0.25">
      <c r="BE95" s="192">
        <v>57</v>
      </c>
      <c r="BF95" s="192">
        <v>0.872</v>
      </c>
      <c r="BG95" s="192">
        <v>0.93100000000000005</v>
      </c>
      <c r="BQ95" s="192">
        <v>57</v>
      </c>
      <c r="BR95" s="192">
        <v>20.9</v>
      </c>
      <c r="BU95" s="192">
        <v>22.4</v>
      </c>
    </row>
    <row r="96" spans="57:73" s="192" customFormat="1" x14ac:dyDescent="0.25">
      <c r="BE96" s="192">
        <v>57.083333333333336</v>
      </c>
      <c r="BF96" s="192">
        <v>0.876</v>
      </c>
      <c r="BG96" s="192">
        <v>0.93300000000000005</v>
      </c>
      <c r="BQ96" s="192">
        <v>57.083333333333336</v>
      </c>
      <c r="BR96" s="192">
        <v>20.9</v>
      </c>
      <c r="BU96" s="192">
        <v>22.4</v>
      </c>
    </row>
    <row r="97" spans="57:73" s="192" customFormat="1" x14ac:dyDescent="0.25">
      <c r="BE97" s="192">
        <v>57.166666666666664</v>
      </c>
      <c r="BF97" s="192">
        <v>0.879</v>
      </c>
      <c r="BG97" s="192">
        <v>0.93500000000000005</v>
      </c>
      <c r="BQ97" s="192">
        <v>57.166666666666664</v>
      </c>
      <c r="BR97" s="192">
        <v>20.8</v>
      </c>
      <c r="BU97" s="192">
        <v>22.3</v>
      </c>
    </row>
    <row r="98" spans="57:73" s="192" customFormat="1" x14ac:dyDescent="0.25">
      <c r="BE98" s="192">
        <v>57.25</v>
      </c>
      <c r="BF98" s="192">
        <v>0.88200000000000001</v>
      </c>
      <c r="BG98" s="192">
        <v>0.93700000000000006</v>
      </c>
      <c r="BQ98" s="192">
        <v>57.25</v>
      </c>
      <c r="BR98" s="192">
        <v>20.8</v>
      </c>
      <c r="BU98" s="192">
        <v>22.3</v>
      </c>
    </row>
    <row r="99" spans="57:73" s="192" customFormat="1" x14ac:dyDescent="0.25">
      <c r="BE99" s="192">
        <v>57.333333333333336</v>
      </c>
      <c r="BF99" s="192">
        <v>0.88600000000000001</v>
      </c>
      <c r="BG99" s="192">
        <v>0.93899999999999995</v>
      </c>
      <c r="BQ99" s="192">
        <v>57.333333333333336</v>
      </c>
      <c r="BR99" s="192">
        <v>20.7</v>
      </c>
      <c r="BU99" s="192">
        <v>22.2</v>
      </c>
    </row>
    <row r="100" spans="57:73" s="192" customFormat="1" x14ac:dyDescent="0.25">
      <c r="BE100" s="192">
        <v>57.416666666666664</v>
      </c>
      <c r="BF100" s="192">
        <v>0.88900000000000001</v>
      </c>
      <c r="BG100" s="192">
        <v>0.94099999999999995</v>
      </c>
      <c r="BQ100" s="192">
        <v>57.416666666666664</v>
      </c>
      <c r="BR100" s="192">
        <v>20.7</v>
      </c>
      <c r="BU100" s="192">
        <v>22.2</v>
      </c>
    </row>
    <row r="101" spans="57:73" s="192" customFormat="1" x14ac:dyDescent="0.25">
      <c r="BE101" s="192">
        <v>57.5</v>
      </c>
      <c r="BF101" s="192">
        <v>0.89200000000000002</v>
      </c>
      <c r="BG101" s="192">
        <v>0.94199999999999995</v>
      </c>
      <c r="BQ101" s="192">
        <v>57.5</v>
      </c>
      <c r="BR101" s="192">
        <v>20.7</v>
      </c>
      <c r="BU101" s="192">
        <v>22.1</v>
      </c>
    </row>
    <row r="102" spans="57:73" s="192" customFormat="1" x14ac:dyDescent="0.25">
      <c r="BE102" s="192">
        <v>57.583333333333336</v>
      </c>
      <c r="BF102" s="192">
        <v>0.89600000000000002</v>
      </c>
      <c r="BG102" s="192">
        <v>0.94399999999999995</v>
      </c>
      <c r="BQ102" s="192">
        <v>57.583333333333336</v>
      </c>
      <c r="BR102" s="192">
        <v>20.6</v>
      </c>
      <c r="BU102" s="192">
        <v>22.1</v>
      </c>
    </row>
    <row r="103" spans="57:73" s="192" customFormat="1" x14ac:dyDescent="0.25">
      <c r="BE103" s="192">
        <v>57.666666666666664</v>
      </c>
      <c r="BF103" s="192">
        <v>0.89900000000000002</v>
      </c>
      <c r="BG103" s="192">
        <v>0.94599999999999995</v>
      </c>
      <c r="BQ103" s="192">
        <v>57.666666666666664</v>
      </c>
      <c r="BR103" s="192">
        <v>20.6</v>
      </c>
      <c r="BU103" s="192">
        <v>22</v>
      </c>
    </row>
    <row r="104" spans="57:73" s="192" customFormat="1" x14ac:dyDescent="0.25">
      <c r="BE104" s="192">
        <v>57.75</v>
      </c>
      <c r="BF104" s="192">
        <v>0.90200000000000002</v>
      </c>
      <c r="BG104" s="192">
        <v>0.94799999999999995</v>
      </c>
      <c r="BQ104" s="192">
        <v>57.75</v>
      </c>
      <c r="BR104" s="192">
        <v>20.5</v>
      </c>
      <c r="BU104" s="192">
        <v>22</v>
      </c>
    </row>
    <row r="105" spans="57:73" s="192" customFormat="1" x14ac:dyDescent="0.25">
      <c r="BE105" s="192">
        <v>57.833333333333336</v>
      </c>
      <c r="BF105" s="192">
        <v>0.90500000000000003</v>
      </c>
      <c r="BG105" s="192">
        <v>0.95</v>
      </c>
      <c r="BQ105" s="192">
        <v>57.833333333333336</v>
      </c>
      <c r="BR105" s="192">
        <v>20.5</v>
      </c>
      <c r="BU105" s="192">
        <v>21.9</v>
      </c>
    </row>
    <row r="106" spans="57:73" s="192" customFormat="1" x14ac:dyDescent="0.25">
      <c r="BE106" s="192">
        <v>57.916666666666664</v>
      </c>
      <c r="BF106" s="192">
        <v>0.90900000000000003</v>
      </c>
      <c r="BG106" s="192">
        <v>0.95199999999999996</v>
      </c>
      <c r="BQ106" s="192">
        <v>57.916666666666664</v>
      </c>
      <c r="BR106" s="192">
        <v>20.399999999999999</v>
      </c>
      <c r="BU106" s="192">
        <v>21.9</v>
      </c>
    </row>
    <row r="107" spans="57:73" s="192" customFormat="1" x14ac:dyDescent="0.25">
      <c r="BE107" s="192">
        <v>58</v>
      </c>
      <c r="BF107" s="192">
        <v>0.91200000000000003</v>
      </c>
      <c r="BG107" s="192">
        <v>0.95399999999999996</v>
      </c>
      <c r="BQ107" s="192">
        <v>58</v>
      </c>
      <c r="BR107" s="192">
        <v>20.399999999999999</v>
      </c>
      <c r="BU107" s="192">
        <v>21.8</v>
      </c>
    </row>
    <row r="108" spans="57:73" s="192" customFormat="1" x14ac:dyDescent="0.25">
      <c r="BE108" s="192">
        <v>58.083333333333336</v>
      </c>
      <c r="BF108" s="192">
        <v>0.91600000000000004</v>
      </c>
      <c r="BG108" s="192">
        <v>0.95599999999999996</v>
      </c>
      <c r="BQ108" s="192">
        <v>58.083333333333336</v>
      </c>
      <c r="BR108" s="192">
        <v>20.399999999999999</v>
      </c>
      <c r="BU108" s="192">
        <v>21.8</v>
      </c>
    </row>
    <row r="109" spans="57:73" s="192" customFormat="1" x14ac:dyDescent="0.25">
      <c r="BE109" s="192">
        <v>58.166666666666664</v>
      </c>
      <c r="BF109" s="192">
        <v>0.91900000000000004</v>
      </c>
      <c r="BG109" s="192">
        <v>0.95699999999999996</v>
      </c>
      <c r="BQ109" s="192">
        <v>58.166666666666664</v>
      </c>
      <c r="BR109" s="192">
        <v>20.3</v>
      </c>
      <c r="BU109" s="192">
        <v>21.7</v>
      </c>
    </row>
    <row r="110" spans="57:73" s="192" customFormat="1" x14ac:dyDescent="0.25">
      <c r="BE110" s="192">
        <v>58.25</v>
      </c>
      <c r="BF110" s="192">
        <v>0.92300000000000004</v>
      </c>
      <c r="BG110" s="192">
        <v>0.95899999999999996</v>
      </c>
      <c r="BQ110" s="192">
        <v>58.25</v>
      </c>
      <c r="BR110" s="192">
        <v>20.3</v>
      </c>
      <c r="BU110" s="192">
        <v>21.7</v>
      </c>
    </row>
    <row r="111" spans="57:73" s="192" customFormat="1" x14ac:dyDescent="0.25">
      <c r="BE111" s="192">
        <v>58.333333333333336</v>
      </c>
      <c r="BF111" s="192">
        <v>0.92600000000000005</v>
      </c>
      <c r="BG111" s="192">
        <v>0.96099999999999997</v>
      </c>
      <c r="BQ111" s="192">
        <v>58.333333333333336</v>
      </c>
      <c r="BR111" s="192">
        <v>20.2</v>
      </c>
      <c r="BU111" s="192">
        <v>21.6</v>
      </c>
    </row>
    <row r="112" spans="57:73" s="192" customFormat="1" x14ac:dyDescent="0.25">
      <c r="BE112" s="192">
        <v>58.416666666666664</v>
      </c>
      <c r="BF112" s="192">
        <v>0.93</v>
      </c>
      <c r="BG112" s="192">
        <v>0.96299999999999997</v>
      </c>
      <c r="BQ112" s="192">
        <v>58.416666666666664</v>
      </c>
      <c r="BR112" s="192">
        <v>20.2</v>
      </c>
      <c r="BU112" s="192">
        <v>21.6</v>
      </c>
    </row>
    <row r="113" spans="57:73" s="192" customFormat="1" x14ac:dyDescent="0.25">
      <c r="BE113" s="192">
        <v>58.5</v>
      </c>
      <c r="BF113" s="192">
        <v>0.93300000000000005</v>
      </c>
      <c r="BG113" s="192">
        <v>0.96499999999999997</v>
      </c>
      <c r="BQ113" s="192">
        <v>58.5</v>
      </c>
      <c r="BR113" s="192">
        <v>20.2</v>
      </c>
      <c r="BU113" s="192">
        <v>21.5</v>
      </c>
    </row>
    <row r="114" spans="57:73" s="192" customFormat="1" x14ac:dyDescent="0.25">
      <c r="BE114" s="192">
        <v>58.583333333333336</v>
      </c>
      <c r="BF114" s="192">
        <v>0.93700000000000006</v>
      </c>
      <c r="BG114" s="192">
        <v>0.96699999999999997</v>
      </c>
      <c r="BQ114" s="192">
        <v>58.583333333333336</v>
      </c>
      <c r="BR114" s="192">
        <v>20.100000000000001</v>
      </c>
      <c r="BU114" s="192">
        <v>21.5</v>
      </c>
    </row>
    <row r="115" spans="57:73" s="192" customFormat="1" x14ac:dyDescent="0.25">
      <c r="BE115" s="192">
        <v>58.666666666666664</v>
      </c>
      <c r="BF115" s="192">
        <v>0.94</v>
      </c>
      <c r="BG115" s="192">
        <v>0.96899999999999997</v>
      </c>
      <c r="BQ115" s="192">
        <v>58.666666666666664</v>
      </c>
      <c r="BR115" s="192">
        <v>20.100000000000001</v>
      </c>
      <c r="BU115" s="192">
        <v>21.4</v>
      </c>
    </row>
    <row r="116" spans="57:73" s="192" customFormat="1" x14ac:dyDescent="0.25">
      <c r="BE116" s="192">
        <v>58.75</v>
      </c>
      <c r="BF116" s="192">
        <v>0.94399999999999995</v>
      </c>
      <c r="BG116" s="192">
        <v>0.97099999999999997</v>
      </c>
      <c r="BQ116" s="192">
        <v>58.75</v>
      </c>
      <c r="BR116" s="192">
        <v>20</v>
      </c>
      <c r="BU116" s="192">
        <v>21.4</v>
      </c>
    </row>
    <row r="117" spans="57:73" s="192" customFormat="1" x14ac:dyDescent="0.25">
      <c r="BE117" s="192">
        <v>58.833333333333336</v>
      </c>
      <c r="BF117" s="192">
        <v>0.94799999999999995</v>
      </c>
      <c r="BG117" s="192">
        <v>0.97299999999999998</v>
      </c>
      <c r="BQ117" s="192">
        <v>58.833333333333336</v>
      </c>
      <c r="BR117" s="192">
        <v>20</v>
      </c>
      <c r="BU117" s="192">
        <v>21.3</v>
      </c>
    </row>
    <row r="118" spans="57:73" s="192" customFormat="1" x14ac:dyDescent="0.25">
      <c r="BE118" s="192">
        <v>58.916666666666664</v>
      </c>
      <c r="BF118" s="192">
        <v>0.95099999999999996</v>
      </c>
      <c r="BG118" s="192">
        <v>0.97499999999999998</v>
      </c>
      <c r="BQ118" s="192">
        <v>58.916666666666664</v>
      </c>
      <c r="BR118" s="192">
        <v>19.899999999999999</v>
      </c>
      <c r="BU118" s="192">
        <v>21.3</v>
      </c>
    </row>
    <row r="119" spans="57:73" s="192" customFormat="1" x14ac:dyDescent="0.25">
      <c r="BE119" s="192">
        <v>59</v>
      </c>
      <c r="BF119" s="192">
        <v>0.95499999999999996</v>
      </c>
      <c r="BG119" s="192">
        <v>0.97699999999999998</v>
      </c>
      <c r="BQ119" s="192">
        <v>59</v>
      </c>
      <c r="BR119" s="192">
        <v>19.899999999999999</v>
      </c>
      <c r="BU119" s="192">
        <v>21.2</v>
      </c>
    </row>
    <row r="120" spans="57:73" s="192" customFormat="1" x14ac:dyDescent="0.25">
      <c r="BE120" s="192">
        <v>59.083333333333336</v>
      </c>
      <c r="BF120" s="192">
        <v>0.95799999999999996</v>
      </c>
      <c r="BG120" s="192">
        <v>0.97899999999999998</v>
      </c>
      <c r="BQ120" s="192">
        <v>59.083333333333336</v>
      </c>
      <c r="BR120" s="192">
        <v>19.899999999999999</v>
      </c>
      <c r="BU120" s="192">
        <v>21.2</v>
      </c>
    </row>
    <row r="121" spans="57:73" s="192" customFormat="1" x14ac:dyDescent="0.25">
      <c r="BE121" s="192">
        <v>59.166666666666664</v>
      </c>
      <c r="BF121" s="192">
        <v>0.96199999999999997</v>
      </c>
      <c r="BG121" s="192">
        <v>0.98</v>
      </c>
      <c r="BQ121" s="192">
        <v>59.166666666666664</v>
      </c>
      <c r="BR121" s="192">
        <v>19.8</v>
      </c>
      <c r="BU121" s="192">
        <v>21.1</v>
      </c>
    </row>
    <row r="122" spans="57:73" s="192" customFormat="1" x14ac:dyDescent="0.25">
      <c r="BE122" s="192">
        <v>59.25</v>
      </c>
      <c r="BF122" s="192">
        <v>0.96599999999999997</v>
      </c>
      <c r="BG122" s="192">
        <v>0.98199999999999998</v>
      </c>
      <c r="BQ122" s="192">
        <v>59.25</v>
      </c>
      <c r="BR122" s="192">
        <v>19.8</v>
      </c>
      <c r="BU122" s="192">
        <v>21.1</v>
      </c>
    </row>
    <row r="123" spans="57:73" x14ac:dyDescent="0.25">
      <c r="BE123" s="31">
        <v>59.333333333333336</v>
      </c>
      <c r="BF123" s="31">
        <v>0.97</v>
      </c>
      <c r="BG123" s="31">
        <v>0.98399999999999999</v>
      </c>
      <c r="BQ123" s="31">
        <v>59.333333333333336</v>
      </c>
      <c r="BR123" s="192">
        <v>19.7</v>
      </c>
      <c r="BU123" s="192">
        <v>21</v>
      </c>
    </row>
    <row r="124" spans="57:73" x14ac:dyDescent="0.25">
      <c r="BE124" s="31">
        <v>59.416666666666664</v>
      </c>
      <c r="BF124" s="31">
        <v>0.97399999999999998</v>
      </c>
      <c r="BG124" s="31">
        <v>0.98599999999999999</v>
      </c>
      <c r="BQ124" s="31">
        <v>59.416666666666664</v>
      </c>
      <c r="BR124" s="192">
        <v>19.7</v>
      </c>
      <c r="BU124" s="192">
        <v>21</v>
      </c>
    </row>
    <row r="125" spans="57:73" x14ac:dyDescent="0.25">
      <c r="BE125" s="31">
        <v>59.5</v>
      </c>
      <c r="BF125" s="31">
        <v>0.97699999999999998</v>
      </c>
      <c r="BG125" s="31">
        <v>0.98799999999999999</v>
      </c>
      <c r="BQ125" s="31">
        <v>59.5</v>
      </c>
      <c r="BR125" s="192">
        <v>19.600000000000001</v>
      </c>
      <c r="BU125" s="192">
        <v>20.9</v>
      </c>
    </row>
    <row r="126" spans="57:73" x14ac:dyDescent="0.25">
      <c r="BE126" s="31">
        <v>59.583333333333336</v>
      </c>
      <c r="BF126" s="31">
        <v>0.98099999999999998</v>
      </c>
      <c r="BG126" s="31">
        <v>0.99</v>
      </c>
      <c r="BQ126" s="31">
        <v>59.583333333333336</v>
      </c>
      <c r="BR126" s="192">
        <v>19.600000000000001</v>
      </c>
      <c r="BU126" s="192">
        <v>20.9</v>
      </c>
    </row>
    <row r="127" spans="57:73" x14ac:dyDescent="0.25">
      <c r="BE127" s="31">
        <v>59.666666666666664</v>
      </c>
      <c r="BF127" s="31">
        <v>0.98499999999999999</v>
      </c>
      <c r="BG127" s="31">
        <v>0.99199999999999999</v>
      </c>
      <c r="BQ127" s="31">
        <v>59.666666666666664</v>
      </c>
      <c r="BR127" s="192">
        <v>19.600000000000001</v>
      </c>
      <c r="BU127" s="192">
        <v>20.8</v>
      </c>
    </row>
    <row r="128" spans="57:73" x14ac:dyDescent="0.25">
      <c r="BE128" s="31">
        <v>59.75</v>
      </c>
      <c r="BF128" s="31">
        <v>0.98899999999999999</v>
      </c>
      <c r="BG128" s="31">
        <v>0.99399999999999999</v>
      </c>
      <c r="BQ128" s="31">
        <v>59.75</v>
      </c>
      <c r="BR128" s="192">
        <v>19.5</v>
      </c>
      <c r="BU128" s="192">
        <v>20.8</v>
      </c>
    </row>
    <row r="129" spans="57:73" x14ac:dyDescent="0.25">
      <c r="BE129" s="31">
        <v>59.833333333333336</v>
      </c>
      <c r="BF129" s="31">
        <v>0.99299999999999999</v>
      </c>
      <c r="BG129" s="31">
        <v>0.996</v>
      </c>
      <c r="BQ129" s="31">
        <v>59.833333333333336</v>
      </c>
      <c r="BR129" s="192">
        <v>19.5</v>
      </c>
      <c r="BU129" s="192">
        <v>20.7</v>
      </c>
    </row>
    <row r="130" spans="57:73" x14ac:dyDescent="0.25">
      <c r="BE130" s="31">
        <v>59.916666666666664</v>
      </c>
      <c r="BF130" s="31">
        <v>0.996</v>
      </c>
      <c r="BG130" s="31">
        <v>0.998</v>
      </c>
      <c r="BQ130" s="31">
        <v>59.916666666666664</v>
      </c>
      <c r="BR130" s="192">
        <v>19.399999999999999</v>
      </c>
      <c r="BU130" s="192">
        <v>20.7</v>
      </c>
    </row>
    <row r="131" spans="57:73" x14ac:dyDescent="0.25">
      <c r="BQ131" s="31">
        <v>60.000000000000298</v>
      </c>
      <c r="BR131" s="192">
        <v>19.399999999999999</v>
      </c>
      <c r="BU131" s="192">
        <v>20.6</v>
      </c>
    </row>
    <row r="132" spans="57:73" x14ac:dyDescent="0.25">
      <c r="BQ132" s="31">
        <v>60.083333333333599</v>
      </c>
      <c r="BR132" s="192">
        <v>19.3</v>
      </c>
      <c r="BU132" s="192">
        <v>20.6</v>
      </c>
    </row>
    <row r="133" spans="57:73" x14ac:dyDescent="0.25">
      <c r="BQ133" s="31">
        <v>60.166666666666998</v>
      </c>
      <c r="BR133" s="192">
        <v>19.3</v>
      </c>
      <c r="BU133" s="192">
        <v>20.5</v>
      </c>
    </row>
    <row r="134" spans="57:73" x14ac:dyDescent="0.25">
      <c r="BQ134" s="31">
        <v>60.250000000000298</v>
      </c>
      <c r="BR134" s="192">
        <v>19.3</v>
      </c>
      <c r="BU134" s="192">
        <v>20.5</v>
      </c>
    </row>
    <row r="135" spans="57:73" x14ac:dyDescent="0.25">
      <c r="BQ135" s="31">
        <v>60.333333333333599</v>
      </c>
      <c r="BR135" s="192">
        <v>19.2</v>
      </c>
      <c r="BU135" s="192">
        <v>20.399999999999999</v>
      </c>
    </row>
    <row r="136" spans="57:73" x14ac:dyDescent="0.25">
      <c r="BQ136" s="31">
        <v>60.416666666666998</v>
      </c>
      <c r="BR136" s="192">
        <v>19.2</v>
      </c>
      <c r="BU136" s="192">
        <v>20.399999999999999</v>
      </c>
    </row>
    <row r="137" spans="57:73" x14ac:dyDescent="0.25">
      <c r="BQ137" s="31">
        <v>60.500000000000298</v>
      </c>
      <c r="BR137" s="192">
        <v>19.100000000000001</v>
      </c>
      <c r="BU137" s="192">
        <v>20.3</v>
      </c>
    </row>
    <row r="138" spans="57:73" x14ac:dyDescent="0.25">
      <c r="BQ138" s="31">
        <v>60.583333333333599</v>
      </c>
      <c r="BR138" s="192">
        <v>19.100000000000001</v>
      </c>
      <c r="BU138" s="192">
        <v>20.3</v>
      </c>
    </row>
    <row r="139" spans="57:73" x14ac:dyDescent="0.25">
      <c r="BQ139" s="31">
        <v>60.666666666666998</v>
      </c>
      <c r="BR139" s="192">
        <v>19</v>
      </c>
      <c r="BU139" s="192">
        <v>20.2</v>
      </c>
    </row>
    <row r="140" spans="57:73" x14ac:dyDescent="0.25">
      <c r="BQ140" s="31">
        <v>60.750000000000298</v>
      </c>
      <c r="BR140" s="192">
        <v>19</v>
      </c>
      <c r="BU140" s="192">
        <v>20.2</v>
      </c>
    </row>
    <row r="141" spans="57:73" x14ac:dyDescent="0.25">
      <c r="BQ141" s="31">
        <v>60.833333333333599</v>
      </c>
      <c r="BR141" s="192">
        <v>19</v>
      </c>
      <c r="BU141" s="192">
        <v>20.100000000000001</v>
      </c>
    </row>
    <row r="142" spans="57:73" x14ac:dyDescent="0.25">
      <c r="BQ142" s="31">
        <v>60.916666666666998</v>
      </c>
      <c r="BR142" s="192">
        <v>18.899999999999999</v>
      </c>
      <c r="BU142" s="192">
        <v>20.100000000000001</v>
      </c>
    </row>
    <row r="143" spans="57:73" x14ac:dyDescent="0.25">
      <c r="BQ143" s="31">
        <v>61.000000000000298</v>
      </c>
      <c r="BR143" s="192">
        <v>18.899999999999999</v>
      </c>
      <c r="BU143" s="192">
        <v>20</v>
      </c>
    </row>
    <row r="144" spans="57:73" x14ac:dyDescent="0.25">
      <c r="BQ144" s="31">
        <v>61.083333333333599</v>
      </c>
      <c r="BR144" s="192">
        <v>18.8</v>
      </c>
      <c r="BU144" s="192">
        <v>20</v>
      </c>
    </row>
    <row r="145" spans="69:73" x14ac:dyDescent="0.25">
      <c r="BQ145" s="31">
        <v>61.166666666666998</v>
      </c>
      <c r="BR145" s="192">
        <v>18.8</v>
      </c>
      <c r="BU145" s="192">
        <v>19.899999999999999</v>
      </c>
    </row>
    <row r="146" spans="69:73" x14ac:dyDescent="0.25">
      <c r="BQ146" s="31">
        <v>61.250000000000298</v>
      </c>
      <c r="BR146" s="192">
        <v>18.7</v>
      </c>
      <c r="BU146" s="192">
        <v>19.899999999999999</v>
      </c>
    </row>
    <row r="147" spans="69:73" x14ac:dyDescent="0.25">
      <c r="BQ147" s="31">
        <v>61.333333333333698</v>
      </c>
      <c r="BR147" s="192">
        <v>18.7</v>
      </c>
      <c r="BU147" s="192">
        <v>19.8</v>
      </c>
    </row>
    <row r="148" spans="69:73" x14ac:dyDescent="0.25">
      <c r="BQ148" s="31">
        <v>61.416666666666998</v>
      </c>
      <c r="BR148" s="192">
        <v>18.600000000000001</v>
      </c>
      <c r="BU148" s="192">
        <v>19.8</v>
      </c>
    </row>
    <row r="149" spans="69:73" x14ac:dyDescent="0.25">
      <c r="BQ149" s="31">
        <v>61.500000000000298</v>
      </c>
      <c r="BR149" s="192">
        <v>18.600000000000001</v>
      </c>
      <c r="BU149" s="192">
        <v>19.7</v>
      </c>
    </row>
    <row r="150" spans="69:73" x14ac:dyDescent="0.25">
      <c r="BQ150" s="31">
        <v>61.583333333333698</v>
      </c>
      <c r="BR150" s="192">
        <v>18.600000000000001</v>
      </c>
      <c r="BU150" s="192">
        <v>19.7</v>
      </c>
    </row>
    <row r="151" spans="69:73" x14ac:dyDescent="0.25">
      <c r="BQ151" s="31">
        <v>61.666666666666998</v>
      </c>
      <c r="BR151" s="192">
        <v>18.5</v>
      </c>
      <c r="BU151" s="192">
        <v>19.600000000000001</v>
      </c>
    </row>
    <row r="152" spans="69:73" x14ac:dyDescent="0.25">
      <c r="BQ152" s="31">
        <v>61.750000000000298</v>
      </c>
      <c r="BR152" s="192">
        <v>18.5</v>
      </c>
      <c r="BU152" s="192">
        <v>19.5</v>
      </c>
    </row>
    <row r="153" spans="69:73" x14ac:dyDescent="0.25">
      <c r="BQ153" s="31">
        <v>61.833333333333698</v>
      </c>
      <c r="BR153" s="192">
        <v>18.399999999999999</v>
      </c>
      <c r="BU153" s="192">
        <v>19.5</v>
      </c>
    </row>
    <row r="154" spans="69:73" x14ac:dyDescent="0.25">
      <c r="BQ154" s="31">
        <v>61.916666666666998</v>
      </c>
      <c r="BR154" s="192">
        <v>18.399999999999999</v>
      </c>
      <c r="BU154" s="192">
        <v>19.399999999999999</v>
      </c>
    </row>
    <row r="155" spans="69:73" x14ac:dyDescent="0.25">
      <c r="BQ155" s="31">
        <v>62.000000000000298</v>
      </c>
      <c r="BR155" s="192">
        <v>18.3</v>
      </c>
      <c r="BU155" s="192">
        <v>19.399999999999999</v>
      </c>
    </row>
    <row r="156" spans="69:73" x14ac:dyDescent="0.25">
      <c r="BQ156" s="31">
        <v>62.083333333333698</v>
      </c>
      <c r="BR156" s="192">
        <v>18.3</v>
      </c>
      <c r="BU156" s="192">
        <v>19.3</v>
      </c>
    </row>
    <row r="157" spans="69:73" x14ac:dyDescent="0.25">
      <c r="BQ157" s="31">
        <v>62.166666666666998</v>
      </c>
      <c r="BR157" s="192">
        <v>18.2</v>
      </c>
      <c r="BU157" s="192">
        <v>19.3</v>
      </c>
    </row>
    <row r="158" spans="69:73" x14ac:dyDescent="0.25">
      <c r="BQ158" s="31">
        <v>62.250000000000298</v>
      </c>
      <c r="BR158" s="192">
        <v>18.2</v>
      </c>
      <c r="BU158" s="192">
        <v>19.2</v>
      </c>
    </row>
    <row r="159" spans="69:73" x14ac:dyDescent="0.25">
      <c r="BQ159" s="31">
        <v>62.333333333333698</v>
      </c>
      <c r="BR159" s="192">
        <v>18.2</v>
      </c>
      <c r="BU159" s="192">
        <v>19.2</v>
      </c>
    </row>
    <row r="160" spans="69:73" x14ac:dyDescent="0.25">
      <c r="BQ160" s="31">
        <v>62.416666666666998</v>
      </c>
      <c r="BR160" s="192">
        <v>18.100000000000001</v>
      </c>
      <c r="BU160" s="192">
        <v>19.100000000000001</v>
      </c>
    </row>
    <row r="161" spans="69:73" x14ac:dyDescent="0.25">
      <c r="BQ161" s="31">
        <v>62.500000000000398</v>
      </c>
      <c r="BR161" s="192">
        <v>18.100000000000001</v>
      </c>
      <c r="BU161" s="192">
        <v>19.100000000000001</v>
      </c>
    </row>
    <row r="162" spans="69:73" x14ac:dyDescent="0.25">
      <c r="BQ162" s="31">
        <v>62.583333333333698</v>
      </c>
      <c r="BR162" s="192">
        <v>18</v>
      </c>
      <c r="BU162" s="192">
        <v>19</v>
      </c>
    </row>
    <row r="163" spans="69:73" x14ac:dyDescent="0.25">
      <c r="BQ163" s="31">
        <v>62.666666666666998</v>
      </c>
      <c r="BR163" s="192">
        <v>18</v>
      </c>
      <c r="BU163" s="192">
        <v>19</v>
      </c>
    </row>
    <row r="164" spans="69:73" x14ac:dyDescent="0.25">
      <c r="BQ164" s="31">
        <v>62.750000000000398</v>
      </c>
      <c r="BR164" s="192">
        <v>17.899999999999999</v>
      </c>
      <c r="BU164" s="192">
        <v>18.899999999999999</v>
      </c>
    </row>
    <row r="165" spans="69:73" x14ac:dyDescent="0.25">
      <c r="BQ165" s="31">
        <v>62.833333333333698</v>
      </c>
      <c r="BR165" s="192">
        <v>17.899999999999999</v>
      </c>
      <c r="BU165" s="192">
        <v>18.899999999999999</v>
      </c>
    </row>
    <row r="166" spans="69:73" x14ac:dyDescent="0.25">
      <c r="BQ166" s="31">
        <v>62.916666666666998</v>
      </c>
      <c r="BR166" s="192">
        <v>17.8</v>
      </c>
      <c r="BU166" s="192">
        <v>18.8</v>
      </c>
    </row>
    <row r="167" spans="69:73" x14ac:dyDescent="0.25">
      <c r="BQ167" s="31">
        <v>63.000000000000398</v>
      </c>
      <c r="BR167" s="192">
        <v>17.8</v>
      </c>
      <c r="BU167" s="192">
        <v>18.8</v>
      </c>
    </row>
    <row r="168" spans="69:73" x14ac:dyDescent="0.25">
      <c r="BQ168" s="31">
        <v>63.083333333333698</v>
      </c>
      <c r="BR168" s="192">
        <v>17.8</v>
      </c>
      <c r="BU168" s="192">
        <v>18.7</v>
      </c>
    </row>
    <row r="169" spans="69:73" x14ac:dyDescent="0.25">
      <c r="BQ169" s="31">
        <v>63.166666666666998</v>
      </c>
      <c r="BR169" s="192">
        <v>17.7</v>
      </c>
      <c r="BU169" s="192">
        <v>18.7</v>
      </c>
    </row>
    <row r="170" spans="69:73" x14ac:dyDescent="0.25">
      <c r="BQ170" s="31">
        <v>63.250000000000398</v>
      </c>
      <c r="BR170" s="192">
        <v>17.7</v>
      </c>
      <c r="BU170" s="192">
        <v>18.600000000000001</v>
      </c>
    </row>
    <row r="171" spans="69:73" x14ac:dyDescent="0.25">
      <c r="BQ171" s="31">
        <v>63.333333333333698</v>
      </c>
      <c r="BR171" s="192">
        <v>17.600000000000001</v>
      </c>
      <c r="BU171" s="192">
        <v>18.600000000000001</v>
      </c>
    </row>
    <row r="172" spans="69:73" x14ac:dyDescent="0.25">
      <c r="BQ172" s="31">
        <v>63.416666666666998</v>
      </c>
      <c r="BR172" s="192">
        <v>17.600000000000001</v>
      </c>
      <c r="BU172" s="192">
        <v>18.5</v>
      </c>
    </row>
    <row r="173" spans="69:73" x14ac:dyDescent="0.25">
      <c r="BQ173" s="31">
        <v>63.500000000000398</v>
      </c>
      <c r="BR173" s="192">
        <v>17.5</v>
      </c>
      <c r="BU173" s="192">
        <v>18.5</v>
      </c>
    </row>
    <row r="174" spans="69:73" x14ac:dyDescent="0.25">
      <c r="BQ174" s="31">
        <v>63.583333333333698</v>
      </c>
      <c r="BR174" s="192">
        <v>17.5</v>
      </c>
      <c r="BU174" s="192">
        <v>18.399999999999999</v>
      </c>
    </row>
    <row r="175" spans="69:73" x14ac:dyDescent="0.25">
      <c r="BQ175" s="31">
        <v>63.666666666667098</v>
      </c>
      <c r="BR175" s="192">
        <v>17.399999999999999</v>
      </c>
      <c r="BU175" s="192">
        <v>18.399999999999999</v>
      </c>
    </row>
    <row r="176" spans="69:73" x14ac:dyDescent="0.25">
      <c r="BQ176" s="31">
        <v>63.750000000000398</v>
      </c>
      <c r="BR176" s="192">
        <v>17.399999999999999</v>
      </c>
      <c r="BU176" s="192">
        <v>18.3</v>
      </c>
    </row>
    <row r="177" spans="69:73" x14ac:dyDescent="0.25">
      <c r="BQ177" s="31">
        <v>63.833333333333698</v>
      </c>
      <c r="BR177" s="192">
        <v>17.399999999999999</v>
      </c>
      <c r="BU177" s="192">
        <v>18.2</v>
      </c>
    </row>
    <row r="178" spans="69:73" x14ac:dyDescent="0.25">
      <c r="BQ178" s="31">
        <v>63.916666666667098</v>
      </c>
      <c r="BR178" s="192">
        <v>17.3</v>
      </c>
      <c r="BU178" s="192">
        <v>18.2</v>
      </c>
    </row>
    <row r="179" spans="69:73" x14ac:dyDescent="0.25">
      <c r="BQ179" s="31">
        <v>64.000000000000398</v>
      </c>
      <c r="BR179" s="192">
        <v>17.3</v>
      </c>
      <c r="BU179" s="192">
        <v>18.100000000000001</v>
      </c>
    </row>
    <row r="180" spans="69:73" x14ac:dyDescent="0.25">
      <c r="BQ180" s="31">
        <v>64.083333333333698</v>
      </c>
      <c r="BR180" s="192">
        <v>17.2</v>
      </c>
      <c r="BU180" s="192">
        <v>18.100000000000001</v>
      </c>
    </row>
    <row r="181" spans="69:73" x14ac:dyDescent="0.25">
      <c r="BQ181" s="31">
        <v>64.166666666667098</v>
      </c>
      <c r="BR181" s="192">
        <v>17.2</v>
      </c>
      <c r="BU181" s="192">
        <v>18</v>
      </c>
    </row>
    <row r="182" spans="69:73" x14ac:dyDescent="0.25">
      <c r="BQ182" s="31">
        <v>64.250000000000398</v>
      </c>
      <c r="BR182" s="192">
        <v>17.100000000000001</v>
      </c>
      <c r="BU182" s="192">
        <v>18</v>
      </c>
    </row>
    <row r="183" spans="69:73" x14ac:dyDescent="0.25">
      <c r="BQ183" s="31">
        <v>64.333333333333698</v>
      </c>
      <c r="BR183" s="192">
        <v>17.100000000000001</v>
      </c>
      <c r="BU183" s="192">
        <v>17.899999999999999</v>
      </c>
    </row>
    <row r="184" spans="69:73" x14ac:dyDescent="0.25">
      <c r="BQ184" s="31">
        <v>64.416666666667098</v>
      </c>
      <c r="BR184" s="192">
        <v>17</v>
      </c>
      <c r="BU184" s="192">
        <v>17.899999999999999</v>
      </c>
    </row>
    <row r="185" spans="69:73" x14ac:dyDescent="0.25">
      <c r="BQ185" s="31">
        <v>64.500000000000398</v>
      </c>
      <c r="BR185" s="192">
        <v>17</v>
      </c>
      <c r="BU185" s="192">
        <v>17.8</v>
      </c>
    </row>
    <row r="186" spans="69:73" x14ac:dyDescent="0.25">
      <c r="BQ186" s="31">
        <v>64.583333333333698</v>
      </c>
      <c r="BR186" s="192">
        <v>16.899999999999999</v>
      </c>
      <c r="BU186" s="192">
        <v>17.8</v>
      </c>
    </row>
    <row r="187" spans="69:73" x14ac:dyDescent="0.25">
      <c r="BQ187" s="31">
        <v>64.666666666667098</v>
      </c>
      <c r="BR187" s="192">
        <v>16.899999999999999</v>
      </c>
      <c r="BU187" s="192">
        <v>17.7</v>
      </c>
    </row>
    <row r="188" spans="69:73" x14ac:dyDescent="0.25">
      <c r="BQ188" s="31">
        <v>64.750000000000398</v>
      </c>
      <c r="BR188" s="192">
        <v>16.899999999999999</v>
      </c>
      <c r="BU188" s="192">
        <v>17.7</v>
      </c>
    </row>
    <row r="189" spans="69:73" x14ac:dyDescent="0.25">
      <c r="BQ189" s="31">
        <v>64.833333333333798</v>
      </c>
      <c r="BR189" s="192">
        <v>16.8</v>
      </c>
      <c r="BU189" s="192">
        <v>17.600000000000001</v>
      </c>
    </row>
    <row r="190" spans="69:73" x14ac:dyDescent="0.25">
      <c r="BQ190" s="31">
        <v>64.916666666667098</v>
      </c>
      <c r="BR190" s="192">
        <v>16.8</v>
      </c>
      <c r="BU190" s="192">
        <v>17.600000000000001</v>
      </c>
    </row>
    <row r="191" spans="69:73" x14ac:dyDescent="0.25">
      <c r="BQ191" s="31">
        <v>65.000000000000398</v>
      </c>
      <c r="BR191" s="192">
        <v>16.7</v>
      </c>
      <c r="BU191" s="192">
        <v>17.5</v>
      </c>
    </row>
    <row r="192" spans="69:73" x14ac:dyDescent="0.25">
      <c r="BQ192" s="31">
        <v>65.083333333333798</v>
      </c>
      <c r="BR192" s="192">
        <v>16.7</v>
      </c>
      <c r="BU192" s="192">
        <v>17.5</v>
      </c>
    </row>
    <row r="193" spans="69:73" x14ac:dyDescent="0.25">
      <c r="BQ193" s="31">
        <v>65.166666666667098</v>
      </c>
      <c r="BR193" s="192">
        <v>16.600000000000001</v>
      </c>
      <c r="BU193" s="192">
        <v>17.399999999999999</v>
      </c>
    </row>
    <row r="194" spans="69:73" x14ac:dyDescent="0.25">
      <c r="BQ194" s="31">
        <v>65.250000000000398</v>
      </c>
      <c r="BR194" s="192">
        <v>16.600000000000001</v>
      </c>
      <c r="BU194" s="192">
        <v>17.399999999999999</v>
      </c>
    </row>
    <row r="195" spans="69:73" x14ac:dyDescent="0.25">
      <c r="BQ195" s="31">
        <v>65.333333333333798</v>
      </c>
      <c r="BR195" s="192">
        <v>16.5</v>
      </c>
      <c r="BU195" s="192">
        <v>17.3</v>
      </c>
    </row>
    <row r="196" spans="69:73" x14ac:dyDescent="0.25">
      <c r="BQ196" s="31">
        <v>65.416666666667098</v>
      </c>
      <c r="BR196" s="192">
        <v>16.5</v>
      </c>
      <c r="BU196" s="192">
        <v>17.3</v>
      </c>
    </row>
    <row r="197" spans="69:73" x14ac:dyDescent="0.25">
      <c r="BQ197" s="31">
        <v>65.500000000000398</v>
      </c>
      <c r="BR197" s="192">
        <v>16.399999999999999</v>
      </c>
      <c r="BU197" s="192">
        <v>17.2</v>
      </c>
    </row>
    <row r="198" spans="69:73" x14ac:dyDescent="0.25">
      <c r="BQ198" s="31">
        <v>65.583333333333798</v>
      </c>
      <c r="BR198" s="192">
        <v>16.399999999999999</v>
      </c>
      <c r="BU198" s="192">
        <v>17.100000000000001</v>
      </c>
    </row>
    <row r="199" spans="69:73" x14ac:dyDescent="0.25">
      <c r="BQ199" s="31">
        <v>65.666666666667098</v>
      </c>
      <c r="BR199" s="192">
        <v>16.3</v>
      </c>
      <c r="BU199" s="192">
        <v>17.100000000000001</v>
      </c>
    </row>
    <row r="200" spans="69:73" x14ac:dyDescent="0.25">
      <c r="BQ200" s="31">
        <v>65.750000000000398</v>
      </c>
      <c r="BR200" s="192">
        <v>16.3</v>
      </c>
      <c r="BU200" s="192">
        <v>17</v>
      </c>
    </row>
    <row r="201" spans="69:73" x14ac:dyDescent="0.25">
      <c r="BQ201" s="192">
        <v>65.833333333333798</v>
      </c>
      <c r="BR201" s="192">
        <v>16.3</v>
      </c>
      <c r="BU201" s="192">
        <v>17</v>
      </c>
    </row>
    <row r="202" spans="69:73" x14ac:dyDescent="0.25">
      <c r="BQ202" s="192">
        <v>65.916666666667098</v>
      </c>
      <c r="BR202" s="192">
        <v>16.2</v>
      </c>
      <c r="BU202" s="192">
        <v>16.899999999999999</v>
      </c>
    </row>
    <row r="203" spans="69:73" x14ac:dyDescent="0.25">
      <c r="BQ203" s="192">
        <v>66.000000000000497</v>
      </c>
      <c r="BR203" s="192">
        <v>16.2</v>
      </c>
      <c r="BU203" s="192">
        <v>16.899999999999999</v>
      </c>
    </row>
    <row r="204" spans="69:73" x14ac:dyDescent="0.25">
      <c r="BQ204" s="192">
        <v>66.083333333333798</v>
      </c>
      <c r="BR204" s="192">
        <v>16.100000000000001</v>
      </c>
      <c r="BU204" s="192">
        <v>16.8</v>
      </c>
    </row>
    <row r="205" spans="69:73" x14ac:dyDescent="0.25">
      <c r="BQ205" s="192">
        <v>66.166666666667098</v>
      </c>
      <c r="BR205" s="192">
        <v>16.100000000000001</v>
      </c>
      <c r="BU205" s="192">
        <v>16.8</v>
      </c>
    </row>
    <row r="206" spans="69:73" x14ac:dyDescent="0.25">
      <c r="BQ206" s="192">
        <v>66.250000000000497</v>
      </c>
      <c r="BR206" s="192">
        <v>16</v>
      </c>
      <c r="BU206" s="192">
        <v>16.7</v>
      </c>
    </row>
    <row r="207" spans="69:73" x14ac:dyDescent="0.25">
      <c r="BQ207" s="192">
        <v>66.333333333333798</v>
      </c>
      <c r="BR207" s="192">
        <v>16</v>
      </c>
      <c r="BU207" s="192">
        <v>16.7</v>
      </c>
    </row>
    <row r="208" spans="69:73" x14ac:dyDescent="0.25">
      <c r="BQ208" s="192">
        <v>66.416666666667098</v>
      </c>
      <c r="BR208" s="192">
        <v>15.9</v>
      </c>
      <c r="BU208" s="192">
        <v>16.600000000000001</v>
      </c>
    </row>
    <row r="209" spans="69:73" x14ac:dyDescent="0.25">
      <c r="BQ209" s="192">
        <v>66.500000000000497</v>
      </c>
      <c r="BR209" s="192">
        <v>15.9</v>
      </c>
      <c r="BU209" s="192">
        <v>16.600000000000001</v>
      </c>
    </row>
    <row r="210" spans="69:73" x14ac:dyDescent="0.25">
      <c r="BQ210" s="192">
        <v>66.583333333333798</v>
      </c>
      <c r="BR210" s="192">
        <v>15.8</v>
      </c>
      <c r="BU210" s="192">
        <v>16.5</v>
      </c>
    </row>
    <row r="211" spans="69:73" x14ac:dyDescent="0.25">
      <c r="BQ211" s="192">
        <v>66.666666666667098</v>
      </c>
      <c r="BR211" s="192">
        <v>15.8</v>
      </c>
      <c r="BU211" s="192">
        <v>16.5</v>
      </c>
    </row>
    <row r="212" spans="69:73" x14ac:dyDescent="0.25">
      <c r="BQ212" s="192">
        <v>66.750000000000497</v>
      </c>
      <c r="BR212" s="192">
        <v>15.7</v>
      </c>
      <c r="BU212" s="192">
        <v>16.399999999999999</v>
      </c>
    </row>
    <row r="213" spans="69:73" x14ac:dyDescent="0.25">
      <c r="BQ213" s="192">
        <v>66.833333333333798</v>
      </c>
      <c r="BR213" s="192">
        <v>15.7</v>
      </c>
      <c r="BU213" s="192">
        <v>16.399999999999999</v>
      </c>
    </row>
    <row r="214" spans="69:73" x14ac:dyDescent="0.25">
      <c r="BQ214" s="192">
        <v>66.916666666667098</v>
      </c>
      <c r="BR214" s="192">
        <v>15.7</v>
      </c>
      <c r="BU214" s="192">
        <v>16.3</v>
      </c>
    </row>
    <row r="215" spans="69:73" x14ac:dyDescent="0.25">
      <c r="BQ215" s="192">
        <v>67.000000000000497</v>
      </c>
      <c r="BR215" s="192">
        <v>15.6</v>
      </c>
      <c r="BU215" s="192">
        <v>16.3</v>
      </c>
    </row>
    <row r="216" spans="69:73" x14ac:dyDescent="0.25">
      <c r="BQ216" s="192">
        <v>67.083333333333798</v>
      </c>
      <c r="BR216" s="192">
        <v>15.6</v>
      </c>
      <c r="BU216" s="192">
        <v>16.2</v>
      </c>
    </row>
    <row r="217" spans="69:73" x14ac:dyDescent="0.25">
      <c r="BQ217" s="192">
        <v>67.166666666667197</v>
      </c>
      <c r="BR217" s="192">
        <v>15.5</v>
      </c>
      <c r="BU217" s="192">
        <v>16.100000000000001</v>
      </c>
    </row>
    <row r="218" spans="69:73" x14ac:dyDescent="0.25">
      <c r="BQ218" s="192">
        <v>67.250000000000497</v>
      </c>
      <c r="BR218" s="192">
        <v>15.5</v>
      </c>
      <c r="BU218" s="192">
        <v>16.100000000000001</v>
      </c>
    </row>
    <row r="219" spans="69:73" x14ac:dyDescent="0.25">
      <c r="BQ219" s="192">
        <v>67.333333333333798</v>
      </c>
      <c r="BR219" s="192">
        <v>15.4</v>
      </c>
      <c r="BU219" s="192">
        <v>16</v>
      </c>
    </row>
    <row r="220" spans="69:73" x14ac:dyDescent="0.25">
      <c r="BQ220" s="192">
        <v>67.416666666667197</v>
      </c>
      <c r="BR220" s="192">
        <v>15.4</v>
      </c>
      <c r="BU220" s="192">
        <v>16</v>
      </c>
    </row>
    <row r="221" spans="69:73" x14ac:dyDescent="0.25">
      <c r="BQ221" s="192">
        <v>67.500000000000497</v>
      </c>
      <c r="BR221" s="192">
        <v>15.3</v>
      </c>
      <c r="BU221" s="192">
        <v>15.9</v>
      </c>
    </row>
    <row r="222" spans="69:73" x14ac:dyDescent="0.25">
      <c r="BQ222" s="192">
        <v>67.583333333333798</v>
      </c>
      <c r="BR222" s="192">
        <v>15.3</v>
      </c>
      <c r="BU222" s="192">
        <v>15.9</v>
      </c>
    </row>
    <row r="223" spans="69:73" x14ac:dyDescent="0.25">
      <c r="BQ223" s="192">
        <v>67.666666666667197</v>
      </c>
      <c r="BR223" s="192">
        <v>15.2</v>
      </c>
      <c r="BU223" s="192">
        <v>15.8</v>
      </c>
    </row>
    <row r="224" spans="69:73" x14ac:dyDescent="0.25">
      <c r="BQ224" s="192">
        <v>67.750000000000497</v>
      </c>
      <c r="BR224" s="192">
        <v>15.2</v>
      </c>
      <c r="BU224" s="192">
        <v>15.8</v>
      </c>
    </row>
    <row r="225" spans="69:73" x14ac:dyDescent="0.25">
      <c r="BQ225" s="192">
        <v>67.833333333333798</v>
      </c>
      <c r="BR225" s="192">
        <v>15.1</v>
      </c>
      <c r="BU225" s="192">
        <v>15.7</v>
      </c>
    </row>
    <row r="226" spans="69:73" x14ac:dyDescent="0.25">
      <c r="BQ226" s="192">
        <v>67.916666666667197</v>
      </c>
      <c r="BR226" s="192">
        <v>15.1</v>
      </c>
      <c r="BU226" s="192">
        <v>15.7</v>
      </c>
    </row>
    <row r="227" spans="69:73" x14ac:dyDescent="0.25">
      <c r="BQ227" s="192">
        <v>68.000000000000497</v>
      </c>
      <c r="BR227" s="192">
        <v>15</v>
      </c>
      <c r="BU227" s="192">
        <v>15.6</v>
      </c>
    </row>
    <row r="228" spans="69:73" x14ac:dyDescent="0.25">
      <c r="BQ228" s="192">
        <v>68.083333333333798</v>
      </c>
      <c r="BR228" s="192">
        <v>15</v>
      </c>
      <c r="BU228" s="192">
        <v>15.6</v>
      </c>
    </row>
    <row r="229" spans="69:73" x14ac:dyDescent="0.25">
      <c r="BQ229" s="192">
        <v>68.166666666667197</v>
      </c>
      <c r="BR229" s="192">
        <v>14.9</v>
      </c>
      <c r="BU229" s="192">
        <v>15.5</v>
      </c>
    </row>
    <row r="230" spans="69:73" x14ac:dyDescent="0.25">
      <c r="BQ230" s="192">
        <v>68.250000000000497</v>
      </c>
      <c r="BR230" s="192">
        <v>14.9</v>
      </c>
      <c r="BU230" s="192">
        <v>15.5</v>
      </c>
    </row>
    <row r="231" spans="69:73" x14ac:dyDescent="0.25">
      <c r="BQ231" s="192">
        <v>68.333333333333897</v>
      </c>
      <c r="BR231" s="192">
        <v>14.9</v>
      </c>
      <c r="BU231" s="192">
        <v>15.4</v>
      </c>
    </row>
    <row r="232" spans="69:73" x14ac:dyDescent="0.25">
      <c r="BQ232" s="192">
        <v>68.416666666667197</v>
      </c>
      <c r="BR232" s="192">
        <v>14.8</v>
      </c>
      <c r="BU232" s="192">
        <v>15.4</v>
      </c>
    </row>
    <row r="233" spans="69:73" x14ac:dyDescent="0.25">
      <c r="BQ233" s="192">
        <v>68.500000000000497</v>
      </c>
      <c r="BR233" s="192">
        <v>14.8</v>
      </c>
      <c r="BU233" s="192">
        <v>15.3</v>
      </c>
    </row>
    <row r="234" spans="69:73" x14ac:dyDescent="0.25">
      <c r="BQ234" s="192">
        <v>68.583333333333897</v>
      </c>
      <c r="BR234" s="192">
        <v>14.7</v>
      </c>
      <c r="BU234" s="192">
        <v>15.3</v>
      </c>
    </row>
    <row r="235" spans="69:73" x14ac:dyDescent="0.25">
      <c r="BQ235" s="192">
        <v>68.666666666667197</v>
      </c>
      <c r="BR235" s="192">
        <v>14.7</v>
      </c>
      <c r="BU235" s="192">
        <v>15.2</v>
      </c>
    </row>
    <row r="236" spans="69:73" x14ac:dyDescent="0.25">
      <c r="BQ236" s="192">
        <v>68.750000000000497</v>
      </c>
      <c r="BR236" s="192">
        <v>14.6</v>
      </c>
      <c r="BU236" s="192">
        <v>15.1</v>
      </c>
    </row>
    <row r="237" spans="69:73" x14ac:dyDescent="0.25">
      <c r="BQ237" s="192">
        <v>68.833333333333897</v>
      </c>
      <c r="BR237" s="192">
        <v>14.6</v>
      </c>
      <c r="BU237" s="192">
        <v>15.1</v>
      </c>
    </row>
    <row r="238" spans="69:73" x14ac:dyDescent="0.25">
      <c r="BQ238" s="192">
        <v>68.916666666667197</v>
      </c>
      <c r="BR238" s="192">
        <v>14.5</v>
      </c>
      <c r="BU238" s="192">
        <v>15</v>
      </c>
    </row>
    <row r="239" spans="69:73" x14ac:dyDescent="0.25">
      <c r="BQ239" s="192">
        <v>69.000000000000497</v>
      </c>
      <c r="BR239" s="192">
        <v>14.5</v>
      </c>
      <c r="BU239" s="192">
        <v>15</v>
      </c>
    </row>
    <row r="240" spans="69:73" x14ac:dyDescent="0.25">
      <c r="BQ240" s="192">
        <v>69.083333333333897</v>
      </c>
      <c r="BR240" s="192">
        <v>14.4</v>
      </c>
      <c r="BU240" s="192">
        <v>14.9</v>
      </c>
    </row>
    <row r="241" spans="69:73" x14ac:dyDescent="0.25">
      <c r="BQ241" s="192">
        <v>69.166666666667197</v>
      </c>
      <c r="BR241" s="192">
        <v>14.4</v>
      </c>
      <c r="BU241" s="192">
        <v>14.9</v>
      </c>
    </row>
    <row r="242" spans="69:73" x14ac:dyDescent="0.25">
      <c r="BQ242" s="192">
        <v>69.250000000000497</v>
      </c>
      <c r="BR242" s="192">
        <v>14.3</v>
      </c>
      <c r="BU242" s="192">
        <v>14.8</v>
      </c>
    </row>
    <row r="243" spans="69:73" x14ac:dyDescent="0.25">
      <c r="BQ243" s="31">
        <v>69.333333333333897</v>
      </c>
      <c r="BR243" s="192">
        <v>14.3</v>
      </c>
      <c r="BU243" s="192">
        <v>14.8</v>
      </c>
    </row>
    <row r="244" spans="69:73" x14ac:dyDescent="0.25">
      <c r="BQ244" s="31">
        <v>69.416666666667197</v>
      </c>
      <c r="BR244" s="192">
        <v>14.2</v>
      </c>
      <c r="BU244" s="192">
        <v>14.7</v>
      </c>
    </row>
    <row r="245" spans="69:73" x14ac:dyDescent="0.25">
      <c r="BQ245" s="31">
        <v>69.500000000000597</v>
      </c>
      <c r="BR245" s="192">
        <v>14.2</v>
      </c>
      <c r="BU245" s="192">
        <v>14.7</v>
      </c>
    </row>
    <row r="246" spans="69:73" x14ac:dyDescent="0.25">
      <c r="BQ246" s="31">
        <v>69.583333333333897</v>
      </c>
      <c r="BR246" s="192">
        <v>14.1</v>
      </c>
      <c r="BU246" s="192">
        <v>14.6</v>
      </c>
    </row>
    <row r="247" spans="69:73" x14ac:dyDescent="0.25">
      <c r="BQ247" s="31">
        <v>69.666666666667197</v>
      </c>
      <c r="BR247" s="192">
        <v>14.1</v>
      </c>
      <c r="BU247" s="192">
        <v>14.6</v>
      </c>
    </row>
    <row r="248" spans="69:73" x14ac:dyDescent="0.25">
      <c r="BQ248" s="31">
        <v>69.750000000000597</v>
      </c>
      <c r="BR248" s="192">
        <v>14</v>
      </c>
      <c r="BU248" s="192">
        <v>14.5</v>
      </c>
    </row>
    <row r="249" spans="69:73" x14ac:dyDescent="0.25">
      <c r="BQ249" s="31">
        <v>69.833333333333897</v>
      </c>
      <c r="BR249" s="192">
        <v>14</v>
      </c>
      <c r="BU249" s="192">
        <v>14.5</v>
      </c>
    </row>
    <row r="250" spans="69:73" x14ac:dyDescent="0.25">
      <c r="BQ250" s="31">
        <v>69.916666666667197</v>
      </c>
      <c r="BR250" s="192">
        <v>14</v>
      </c>
      <c r="BU250" s="192">
        <v>14.4</v>
      </c>
    </row>
    <row r="251" spans="69:73" x14ac:dyDescent="0.25">
      <c r="BQ251" s="31">
        <v>70.000000000000597</v>
      </c>
      <c r="BR251" s="192">
        <v>13.9</v>
      </c>
      <c r="BU251" s="192">
        <v>14.4</v>
      </c>
    </row>
    <row r="252" spans="69:73" x14ac:dyDescent="0.25">
      <c r="BQ252" s="31">
        <v>70.083333333333897</v>
      </c>
      <c r="BR252" s="192">
        <v>13.9</v>
      </c>
      <c r="BU252" s="192">
        <v>14.3</v>
      </c>
    </row>
    <row r="253" spans="69:73" x14ac:dyDescent="0.25">
      <c r="BQ253" s="31">
        <v>70.166666666667197</v>
      </c>
      <c r="BR253" s="192">
        <v>13.8</v>
      </c>
      <c r="BU253" s="192">
        <v>14.3</v>
      </c>
    </row>
    <row r="254" spans="69:73" x14ac:dyDescent="0.25">
      <c r="BQ254" s="31">
        <v>70.250000000000597</v>
      </c>
      <c r="BR254" s="192">
        <v>13.8</v>
      </c>
      <c r="BU254" s="192">
        <v>14.2</v>
      </c>
    </row>
    <row r="255" spans="69:73" x14ac:dyDescent="0.25">
      <c r="BQ255" s="31">
        <v>70.333333333333897</v>
      </c>
      <c r="BR255" s="192">
        <v>13.7</v>
      </c>
      <c r="BU255" s="192">
        <v>14.1</v>
      </c>
    </row>
    <row r="256" spans="69:73" x14ac:dyDescent="0.25">
      <c r="BQ256" s="31">
        <v>70.416666666667197</v>
      </c>
      <c r="BR256" s="192">
        <v>13.7</v>
      </c>
      <c r="BU256" s="192">
        <v>14.1</v>
      </c>
    </row>
    <row r="257" spans="69:73" x14ac:dyDescent="0.25">
      <c r="BQ257" s="31">
        <v>70.500000000000597</v>
      </c>
      <c r="BR257" s="192">
        <v>13.6</v>
      </c>
      <c r="BU257" s="192">
        <v>14</v>
      </c>
    </row>
    <row r="258" spans="69:73" x14ac:dyDescent="0.25">
      <c r="BQ258" s="31">
        <v>70.583333333333897</v>
      </c>
      <c r="BR258" s="192">
        <v>13.6</v>
      </c>
      <c r="BU258" s="192">
        <v>14</v>
      </c>
    </row>
    <row r="259" spans="69:73" x14ac:dyDescent="0.25">
      <c r="BQ259" s="31">
        <v>70.666666666667297</v>
      </c>
      <c r="BR259" s="192">
        <v>13.5</v>
      </c>
      <c r="BU259" s="192">
        <v>13.9</v>
      </c>
    </row>
    <row r="260" spans="69:73" x14ac:dyDescent="0.25">
      <c r="BQ260" s="31">
        <v>70.750000000000597</v>
      </c>
      <c r="BR260" s="192">
        <v>13.5</v>
      </c>
      <c r="BU260" s="192">
        <v>13.9</v>
      </c>
    </row>
    <row r="261" spans="69:73" x14ac:dyDescent="0.25">
      <c r="BQ261" s="31">
        <v>70.833333333333897</v>
      </c>
      <c r="BR261" s="192">
        <v>13.4</v>
      </c>
      <c r="BU261" s="192">
        <v>13.8</v>
      </c>
    </row>
    <row r="262" spans="69:73" x14ac:dyDescent="0.25">
      <c r="BQ262" s="31">
        <v>70.916666666667297</v>
      </c>
      <c r="BR262" s="192">
        <v>13.4</v>
      </c>
      <c r="BU262" s="192">
        <v>13.8</v>
      </c>
    </row>
    <row r="263" spans="69:73" x14ac:dyDescent="0.25">
      <c r="BQ263" s="31">
        <v>71.000000000000597</v>
      </c>
      <c r="BR263" s="192">
        <v>13.3</v>
      </c>
      <c r="BU263" s="192">
        <v>13.7</v>
      </c>
    </row>
    <row r="264" spans="69:73" x14ac:dyDescent="0.25">
      <c r="BQ264" s="31">
        <v>71.083333333333897</v>
      </c>
      <c r="BR264" s="192">
        <v>13.3</v>
      </c>
      <c r="BU264" s="192">
        <v>13.7</v>
      </c>
    </row>
    <row r="265" spans="69:73" x14ac:dyDescent="0.25">
      <c r="BQ265" s="31">
        <v>71.166666666667297</v>
      </c>
      <c r="BR265" s="192">
        <v>13.2</v>
      </c>
      <c r="BU265" s="192">
        <v>13.6</v>
      </c>
    </row>
    <row r="266" spans="69:73" x14ac:dyDescent="0.25">
      <c r="BQ266" s="31">
        <v>71.250000000000597</v>
      </c>
      <c r="BR266" s="192">
        <v>13.2</v>
      </c>
      <c r="BU266" s="192">
        <v>13.6</v>
      </c>
    </row>
    <row r="267" spans="69:73" x14ac:dyDescent="0.25">
      <c r="BQ267" s="31">
        <v>71.333333333333897</v>
      </c>
      <c r="BR267" s="192">
        <v>13.1</v>
      </c>
      <c r="BU267" s="192">
        <v>13.5</v>
      </c>
    </row>
    <row r="268" spans="69:73" x14ac:dyDescent="0.25">
      <c r="BQ268" s="31">
        <v>71.416666666667297</v>
      </c>
      <c r="BR268" s="192">
        <v>13.1</v>
      </c>
      <c r="BU268" s="192">
        <v>13.5</v>
      </c>
    </row>
    <row r="269" spans="69:73" x14ac:dyDescent="0.25">
      <c r="BQ269" s="31">
        <v>71.500000000000597</v>
      </c>
      <c r="BR269" s="192">
        <v>13</v>
      </c>
      <c r="BU269" s="192">
        <v>13.4</v>
      </c>
    </row>
    <row r="270" spans="69:73" x14ac:dyDescent="0.25">
      <c r="BQ270" s="31">
        <v>71.583333333333897</v>
      </c>
      <c r="BR270" s="192">
        <v>13</v>
      </c>
      <c r="BU270" s="192">
        <v>13.4</v>
      </c>
    </row>
    <row r="271" spans="69:73" x14ac:dyDescent="0.25">
      <c r="BQ271" s="31">
        <v>71.666666666667297</v>
      </c>
      <c r="BR271" s="192">
        <v>13</v>
      </c>
      <c r="BU271" s="192">
        <v>13.3</v>
      </c>
    </row>
    <row r="272" spans="69:73" x14ac:dyDescent="0.25">
      <c r="BQ272" s="31">
        <v>71.750000000000597</v>
      </c>
      <c r="BR272" s="192">
        <v>12.9</v>
      </c>
      <c r="BU272" s="192">
        <v>13.3</v>
      </c>
    </row>
    <row r="273" spans="69:73" x14ac:dyDescent="0.25">
      <c r="BQ273" s="31">
        <v>71.833333333333997</v>
      </c>
      <c r="BR273" s="192">
        <v>12.9</v>
      </c>
      <c r="BU273" s="192">
        <v>13.2</v>
      </c>
    </row>
    <row r="274" spans="69:73" x14ac:dyDescent="0.25">
      <c r="BQ274" s="31">
        <v>71.916666666667297</v>
      </c>
      <c r="BR274" s="192">
        <v>12.8</v>
      </c>
      <c r="BU274" s="192">
        <v>13.2</v>
      </c>
    </row>
    <row r="275" spans="69:73" x14ac:dyDescent="0.25">
      <c r="BQ275" s="31">
        <v>72.000000000000597</v>
      </c>
      <c r="BR275" s="192">
        <v>12.8</v>
      </c>
      <c r="BU275" s="192">
        <v>13.1</v>
      </c>
    </row>
    <row r="276" spans="69:73" x14ac:dyDescent="0.25">
      <c r="BQ276" s="31">
        <v>72.083333333333997</v>
      </c>
      <c r="BR276" s="192">
        <v>12.7</v>
      </c>
      <c r="BU276" s="192">
        <v>13.1</v>
      </c>
    </row>
    <row r="277" spans="69:73" x14ac:dyDescent="0.25">
      <c r="BQ277" s="31">
        <v>72.166666666667297</v>
      </c>
      <c r="BR277" s="192">
        <v>12.7</v>
      </c>
      <c r="BU277" s="192">
        <v>13</v>
      </c>
    </row>
    <row r="278" spans="69:73" x14ac:dyDescent="0.25">
      <c r="BQ278" s="31">
        <v>72.250000000000597</v>
      </c>
      <c r="BR278" s="192">
        <v>12.6</v>
      </c>
      <c r="BU278" s="192">
        <v>12.9</v>
      </c>
    </row>
    <row r="279" spans="69:73" x14ac:dyDescent="0.25">
      <c r="BQ279" s="31">
        <v>72.333333333333997</v>
      </c>
      <c r="BR279" s="192">
        <v>12.6</v>
      </c>
      <c r="BU279" s="192">
        <v>12.9</v>
      </c>
    </row>
    <row r="280" spans="69:73" x14ac:dyDescent="0.25">
      <c r="BQ280" s="31">
        <v>72.416666666667297</v>
      </c>
      <c r="BR280" s="192">
        <v>12.5</v>
      </c>
      <c r="BU280" s="192">
        <v>12.8</v>
      </c>
    </row>
    <row r="281" spans="69:73" x14ac:dyDescent="0.25">
      <c r="BQ281" s="31">
        <v>72.500000000000597</v>
      </c>
      <c r="BR281" s="192">
        <v>12.5</v>
      </c>
      <c r="BU281" s="192">
        <v>12.8</v>
      </c>
    </row>
    <row r="282" spans="69:73" x14ac:dyDescent="0.25">
      <c r="BQ282" s="31">
        <v>72.583333333333997</v>
      </c>
      <c r="BR282" s="192">
        <v>12.4</v>
      </c>
      <c r="BU282" s="192">
        <v>12.7</v>
      </c>
    </row>
    <row r="283" spans="69:73" x14ac:dyDescent="0.25">
      <c r="BQ283" s="31">
        <v>72.666666666667297</v>
      </c>
      <c r="BR283" s="192">
        <v>12.4</v>
      </c>
      <c r="BU283" s="192">
        <v>12.7</v>
      </c>
    </row>
    <row r="284" spans="69:73" x14ac:dyDescent="0.25">
      <c r="BQ284" s="31">
        <v>72.750000000000597</v>
      </c>
      <c r="BR284" s="192">
        <v>12.3</v>
      </c>
      <c r="BU284" s="192">
        <v>12.6</v>
      </c>
    </row>
    <row r="285" spans="69:73" x14ac:dyDescent="0.25">
      <c r="BQ285" s="31">
        <v>72.833333333333997</v>
      </c>
      <c r="BR285" s="192">
        <v>12.3</v>
      </c>
      <c r="BU285" s="192">
        <v>12.6</v>
      </c>
    </row>
    <row r="286" spans="69:73" x14ac:dyDescent="0.25">
      <c r="BQ286" s="31">
        <v>72.916666666667297</v>
      </c>
      <c r="BR286" s="192">
        <v>12.2</v>
      </c>
      <c r="BU286" s="192">
        <v>12.5</v>
      </c>
    </row>
    <row r="287" spans="69:73" x14ac:dyDescent="0.25">
      <c r="BQ287" s="31">
        <v>73.000000000000696</v>
      </c>
      <c r="BR287" s="192">
        <v>12.2</v>
      </c>
      <c r="BU287" s="192">
        <v>12.5</v>
      </c>
    </row>
    <row r="288" spans="69:73" x14ac:dyDescent="0.25">
      <c r="BQ288" s="31">
        <v>73.083333333333997</v>
      </c>
      <c r="BR288" s="192">
        <v>12.1</v>
      </c>
      <c r="BU288" s="192">
        <v>12.4</v>
      </c>
    </row>
    <row r="289" spans="69:73" x14ac:dyDescent="0.25">
      <c r="BQ289" s="31">
        <v>73.166666666667297</v>
      </c>
      <c r="BR289" s="192">
        <v>12.1</v>
      </c>
      <c r="BU289" s="192">
        <v>12.4</v>
      </c>
    </row>
    <row r="290" spans="69:73" x14ac:dyDescent="0.25">
      <c r="BQ290" s="31">
        <v>73.250000000000696</v>
      </c>
      <c r="BR290" s="192">
        <v>12</v>
      </c>
      <c r="BU290" s="192">
        <v>12.3</v>
      </c>
    </row>
    <row r="291" spans="69:73" x14ac:dyDescent="0.25">
      <c r="BQ291" s="31">
        <v>73.333333333333997</v>
      </c>
      <c r="BR291" s="192">
        <v>12</v>
      </c>
      <c r="BU291" s="192">
        <v>12.3</v>
      </c>
    </row>
    <row r="292" spans="69:73" x14ac:dyDescent="0.25">
      <c r="BQ292" s="31">
        <v>73.416666666667297</v>
      </c>
      <c r="BR292" s="192">
        <v>11.9</v>
      </c>
      <c r="BU292" s="192">
        <v>12.2</v>
      </c>
    </row>
    <row r="293" spans="69:73" x14ac:dyDescent="0.25">
      <c r="BQ293" s="31">
        <v>73.500000000000696</v>
      </c>
      <c r="BR293" s="192">
        <v>11.9</v>
      </c>
      <c r="BU293" s="192">
        <v>12.2</v>
      </c>
    </row>
    <row r="294" spans="69:73" x14ac:dyDescent="0.25">
      <c r="BQ294" s="31">
        <v>73.583333333333997</v>
      </c>
      <c r="BR294" s="192">
        <v>11.8</v>
      </c>
      <c r="BU294" s="192">
        <v>12.1</v>
      </c>
    </row>
    <row r="295" spans="69:73" x14ac:dyDescent="0.25">
      <c r="BQ295" s="31">
        <v>73.666666666667297</v>
      </c>
      <c r="BR295" s="192">
        <v>11.8</v>
      </c>
      <c r="BU295" s="192">
        <v>12.1</v>
      </c>
    </row>
    <row r="296" spans="69:73" x14ac:dyDescent="0.25">
      <c r="BQ296" s="31">
        <v>73.750000000000696</v>
      </c>
      <c r="BR296" s="192">
        <v>11.8</v>
      </c>
      <c r="BU296" s="192">
        <v>12</v>
      </c>
    </row>
    <row r="297" spans="69:73" x14ac:dyDescent="0.25">
      <c r="BQ297" s="31">
        <v>73.833333333333997</v>
      </c>
      <c r="BR297" s="192">
        <v>11.7</v>
      </c>
      <c r="BU297" s="192">
        <v>12</v>
      </c>
    </row>
    <row r="298" spans="69:73" x14ac:dyDescent="0.25">
      <c r="BQ298" s="31">
        <v>73.916666666667297</v>
      </c>
      <c r="BR298" s="192">
        <v>11.7</v>
      </c>
      <c r="BU298" s="192">
        <v>11.9</v>
      </c>
    </row>
    <row r="299" spans="69:73" x14ac:dyDescent="0.25">
      <c r="BQ299" s="31">
        <v>74.000000000000696</v>
      </c>
      <c r="BR299" s="192">
        <v>11.6</v>
      </c>
      <c r="BU299" s="192">
        <v>11.9</v>
      </c>
    </row>
    <row r="300" spans="69:73" x14ac:dyDescent="0.25">
      <c r="BQ300" s="31">
        <v>74.083333333333997</v>
      </c>
      <c r="BR300" s="192">
        <v>11.6</v>
      </c>
      <c r="BU300" s="192">
        <v>11.8</v>
      </c>
    </row>
    <row r="301" spans="69:73" x14ac:dyDescent="0.25">
      <c r="BQ301" s="31">
        <v>74.166666666667396</v>
      </c>
      <c r="BR301" s="192">
        <v>11.5</v>
      </c>
      <c r="BU301" s="192">
        <v>11.8</v>
      </c>
    </row>
    <row r="302" spans="69:73" x14ac:dyDescent="0.25">
      <c r="BQ302" s="31">
        <v>74.250000000000696</v>
      </c>
      <c r="BR302" s="192">
        <v>11.5</v>
      </c>
      <c r="BU302" s="192">
        <v>11.7</v>
      </c>
    </row>
    <row r="303" spans="69:73" x14ac:dyDescent="0.25">
      <c r="BQ303" s="31">
        <v>74.333333333333997</v>
      </c>
      <c r="BR303" s="192">
        <v>11.4</v>
      </c>
      <c r="BU303" s="192">
        <v>11.7</v>
      </c>
    </row>
    <row r="304" spans="69:73" x14ac:dyDescent="0.25">
      <c r="BQ304" s="31">
        <v>74.416666666667396</v>
      </c>
      <c r="BR304" s="192">
        <v>11.4</v>
      </c>
      <c r="BU304" s="192">
        <v>11.6</v>
      </c>
    </row>
    <row r="305" spans="69:73" x14ac:dyDescent="0.25">
      <c r="BQ305" s="31">
        <v>74.500000000000696</v>
      </c>
      <c r="BR305" s="192">
        <v>11.3</v>
      </c>
      <c r="BU305" s="192">
        <v>11.6</v>
      </c>
    </row>
    <row r="306" spans="69:73" x14ac:dyDescent="0.25">
      <c r="BQ306" s="31">
        <v>74.583333333333997</v>
      </c>
      <c r="BR306" s="192">
        <v>11.3</v>
      </c>
      <c r="BU306" s="192">
        <v>11.5</v>
      </c>
    </row>
    <row r="307" spans="69:73" x14ac:dyDescent="0.25">
      <c r="BQ307" s="31">
        <v>74.666666666667396</v>
      </c>
      <c r="BR307" s="192">
        <v>11.2</v>
      </c>
      <c r="BU307" s="192">
        <v>11.5</v>
      </c>
    </row>
    <row r="308" spans="69:73" x14ac:dyDescent="0.25">
      <c r="BQ308" s="31">
        <v>74.750000000000696</v>
      </c>
      <c r="BR308" s="192">
        <v>11.2</v>
      </c>
      <c r="BU308" s="192">
        <v>11.4</v>
      </c>
    </row>
    <row r="309" spans="69:73" x14ac:dyDescent="0.25">
      <c r="BQ309" s="31">
        <v>74.833333333333997</v>
      </c>
      <c r="BR309" s="192">
        <v>11.1</v>
      </c>
      <c r="BU309" s="192">
        <v>11.4</v>
      </c>
    </row>
    <row r="310" spans="69:73" x14ac:dyDescent="0.25">
      <c r="BQ310" s="31">
        <v>74.916666666667396</v>
      </c>
      <c r="BR310" s="192">
        <v>11.1</v>
      </c>
      <c r="BU310" s="192">
        <v>11.3</v>
      </c>
    </row>
    <row r="311" spans="69:73" x14ac:dyDescent="0.25">
      <c r="BQ311" s="31">
        <v>75.000000000000696</v>
      </c>
      <c r="BR311" s="192">
        <v>11</v>
      </c>
      <c r="BU311" s="192">
        <v>11.3</v>
      </c>
    </row>
  </sheetData>
  <sheetProtection algorithmName="SHA-512" hashValue="V1TNUwaPsQOQw7nPRRsOzjWRpd7z54CcoJ/aHQBlIXf25sYrxoQw1ex46rheUehU45E0XzI3vokju9dM4slveA==" saltValue="TBDPuwYL4du9Y7HkDTDf5g==" spinCount="100000" sheet="1" objects="1" scenarios="1"/>
  <conditionalFormatting sqref="E46">
    <cfRule type="cellIs" dxfId="11" priority="13" operator="greaterThan">
      <formula>1</formula>
    </cfRule>
    <cfRule type="cellIs" dxfId="10" priority="14" operator="between">
      <formula>0.85</formula>
      <formula>1</formula>
    </cfRule>
    <cfRule type="cellIs" dxfId="9" priority="15" operator="between">
      <formula>0.5</formula>
      <formula>0.85</formula>
    </cfRule>
    <cfRule type="cellIs" dxfId="8" priority="16"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9">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xr:uid="{00000000-0002-0000-0800-000000000000}">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FPS &amp; 2015 Scheme</vt:lpstr>
      <vt:lpstr>Notes</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 Coyle</cp:lastModifiedBy>
  <cp:lastPrinted>2016-02-26T12:12:28Z</cp:lastPrinted>
  <dcterms:created xsi:type="dcterms:W3CDTF">2016-02-25T16:30:52Z</dcterms:created>
  <dcterms:modified xsi:type="dcterms:W3CDTF">2023-08-03T13:21:27Z</dcterms:modified>
</cp:coreProperties>
</file>