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heckCompatibility="1" autoCompressPictures="0"/>
  <mc:AlternateContent xmlns:mc="http://schemas.openxmlformats.org/markup-compatibility/2006">
    <mc:Choice Requires="x15">
      <x15ac:absPath xmlns:x15ac="http://schemas.microsoft.com/office/spreadsheetml/2010/11/ac" url="F:\public\Public HSCPS\Pension Liaison\Workshops\2023-24 Workshops &amp; 1-1's\Calculators\2008-2015 Transitional\"/>
    </mc:Choice>
  </mc:AlternateContent>
  <xr:revisionPtr revIDLastSave="0" documentId="13_ncr:1_{B28E30BB-5BB5-4B6D-9D09-0AC375292ECF}" xr6:coauthVersionLast="36" xr6:coauthVersionMax="36" xr10:uidLastSave="{00000000-0000-0000-0000-000000000000}"/>
  <workbookProtection workbookAlgorithmName="SHA-512" workbookHashValue="L2Rq4cvaRAMdaK+tPb8y8TU+FcbyCgySc2AQ836Kr10IOhX209455RlJfDhN/7Qv9a7vuH6sMTSEpEkM5l+BfA==" workbookSaltValue="IqHfpt/tqRUk2hyOKMZe3A==" workbookSpinCount="100000" lockStructure="1"/>
  <bookViews>
    <workbookView xWindow="0" yWindow="180" windowWidth="12240" windowHeight="9060" firstSheet="8" activeTab="8"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6" sheetId="9" state="hidden" r:id="rId7"/>
    <sheet name="Sheet3" sheetId="10" state="hidden" r:id="rId8"/>
    <sheet name="2008-2015 Calculator Age 66" sheetId="12" r:id="rId9"/>
    <sheet name="Notes" sheetId="13"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7" i="7" l="1"/>
  <c r="J17" i="7"/>
  <c r="K21" i="9" l="1"/>
  <c r="K19" i="9"/>
  <c r="R72" i="12" l="1"/>
  <c r="R59" i="12"/>
  <c r="R24" i="12"/>
  <c r="P24" i="12"/>
  <c r="S24" i="12" s="1"/>
  <c r="AF17" i="12"/>
  <c r="AH17" i="12" s="1"/>
  <c r="Z19" i="12" s="1"/>
  <c r="AV16" i="12"/>
  <c r="AX16" i="12" s="1"/>
  <c r="T12" i="12"/>
  <c r="S12" i="12"/>
  <c r="Y13" i="12" l="1"/>
  <c r="AB11" i="12"/>
  <c r="AC11" i="12"/>
  <c r="W12" i="12"/>
  <c r="W13" i="12" s="1"/>
  <c r="V16" i="12" s="1"/>
  <c r="E41" i="12" s="1"/>
  <c r="M28" i="9"/>
  <c r="X16" i="12" l="1"/>
  <c r="V18" i="12"/>
  <c r="X18" i="12" s="1"/>
  <c r="K28" i="9"/>
  <c r="R46" i="12" l="1"/>
  <c r="G69" i="12" l="1"/>
  <c r="E75" i="12" s="1"/>
  <c r="E55" i="12"/>
  <c r="E53" i="12"/>
  <c r="R49" i="12" s="1"/>
  <c r="E73" i="12" l="1"/>
  <c r="U49" i="12"/>
  <c r="R51" i="12"/>
  <c r="AR14" i="7" l="1"/>
  <c r="J21" i="7" s="1"/>
  <c r="D20" i="3" l="1"/>
  <c r="D14" i="3"/>
  <c r="C6" i="6" l="1"/>
  <c r="G73" i="3" l="1"/>
  <c r="G74" i="3"/>
  <c r="G78" i="3"/>
  <c r="G75" i="3"/>
  <c r="G79" i="3"/>
  <c r="G76" i="3"/>
  <c r="G77" i="3"/>
  <c r="J22" i="7" l="1"/>
  <c r="K33"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Q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1" i="9" l="1"/>
  <c r="J24" i="7"/>
  <c r="H79" i="3"/>
  <c r="E79" i="3"/>
  <c r="F79" i="3" s="1"/>
  <c r="K35" i="9" l="1"/>
  <c r="J26" i="7"/>
  <c r="Q35" i="9" l="1"/>
  <c r="I41" i="12"/>
  <c r="S46" i="12" l="1"/>
  <c r="Q60" i="12"/>
  <c r="Q61" i="12" s="1"/>
  <c r="I73" i="12"/>
  <c r="N73" i="12" s="1"/>
  <c r="N41" i="12"/>
  <c r="E46" i="12" s="1"/>
  <c r="Q62" i="12" l="1"/>
  <c r="I53" i="12" s="1"/>
  <c r="N53" i="12" s="1"/>
  <c r="I69" i="12"/>
  <c r="I75" i="12" s="1"/>
  <c r="N75" i="12" s="1"/>
  <c r="E78" i="12" s="1"/>
  <c r="I55" i="12"/>
  <c r="N55" i="12" s="1"/>
  <c r="E58" i="12" l="1"/>
</calcChain>
</file>

<file path=xl/sharedStrings.xml><?xml version="1.0" encoding="utf-8"?>
<sst xmlns="http://schemas.openxmlformats.org/spreadsheetml/2006/main" count="194" uniqueCount="153">
  <si>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</si>
  <si>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</si>
  <si>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</si>
  <si>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</si>
  <si>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</si>
  <si>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</si>
  <si>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</si>
  <si>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</si>
  <si>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</si>
  <si>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</si>
  <si>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</si>
  <si>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</si>
  <si>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</si>
  <si>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</si>
  <si>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</si>
  <si>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</si>
  <si>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</si>
  <si>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</si>
  <si>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</si>
  <si>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</si>
  <si>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</si>
  <si>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</si>
  <si>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</si>
  <si>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</si>
  <si>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</si>
  <si>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</si>
  <si>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</si>
  <si>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</si>
  <si>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</si>
  <si>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</si>
  <si>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</si>
  <si>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</si>
  <si>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</si>
  <si>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</si>
  <si>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</si>
  <si>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</si>
  <si>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</si>
  <si>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</si>
  <si>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</si>
  <si>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</si>
  <si>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</si>
  <si>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</si>
  <si>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</si>
  <si>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</si>
  <si>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</si>
  <si>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</si>
  <si>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</si>
  <si>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</si>
  <si>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</si>
  <si>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</si>
  <si>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</si>
  <si>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</si>
  <si>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</si>
  <si>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</si>
  <si>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</si>
  <si>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</si>
  <si>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</si>
  <si>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</si>
  <si>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</si>
  <si>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</si>
  <si>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</si>
  <si>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</si>
  <si>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</si>
  <si>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</si>
  <si>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</si>
  <si>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</si>
  <si>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</si>
  <si>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</si>
  <si>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</si>
  <si>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</si>
  <si>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</si>
  <si>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should be taken as a guarantee of the benefits you may receive on retirement.</t>
  </si>
  <si>
    <t xml:space="preserve">           3. Retirement age of 66</t>
  </si>
  <si>
    <t>LTA Used</t>
  </si>
  <si>
    <t xml:space="preserve">                                                              2015 Scheme Calculator - Members with Normal Retirement Age of 66</t>
  </si>
  <si>
    <t xml:space="preserve">               5. VER Factors are applicable from 01/04/2019</t>
  </si>
  <si>
    <t>Reduction Factor Pension</t>
  </si>
  <si>
    <t>Reduction Factor Lump Sum</t>
  </si>
  <si>
    <t>Please read these notes before using this calculator.</t>
  </si>
  <si>
    <t xml:space="preserve">total </t>
  </si>
  <si>
    <t>years</t>
  </si>
  <si>
    <t>days</t>
  </si>
  <si>
    <t>days converted</t>
  </si>
  <si>
    <t>Days</t>
  </si>
  <si>
    <t>total</t>
  </si>
  <si>
    <t>Enter Your  Pensionable Service at your Transition Date</t>
  </si>
  <si>
    <t>Month Decimal</t>
  </si>
  <si>
    <t>Yes</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</si>
  <si>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</si>
  <si>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</si>
  <si>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</si>
  <si>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</si>
  <si>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</si>
  <si>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</si>
  <si>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2015 Scheme</t>
  </si>
  <si>
    <t>Combined Benefits</t>
  </si>
  <si>
    <t xml:space="preserve">Projected Pension = </t>
  </si>
  <si>
    <t>Projected Lump Sum =</t>
  </si>
  <si>
    <t>Option 2. Assuming Maximum Lump Sum and Reduced Pension</t>
  </si>
  <si>
    <t>Option 3. Personal Choice of additional Lump Sum and Reduced Pension</t>
  </si>
  <si>
    <t>The additional lump sum for 2015 Scheme cannot exceed the maximum 2015 Scheme Lump Sum displayed in Option 2</t>
  </si>
  <si>
    <t xml:space="preserve">How much additional Lump Sum do you want </t>
  </si>
  <si>
    <t xml:space="preserve">LTA Used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</si>
  <si>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</si>
  <si>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</si>
  <si>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</si>
  <si>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</si>
  <si>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</si>
  <si>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</si>
  <si>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</si>
  <si>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</si>
  <si>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</si>
  <si>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</si>
  <si>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</si>
  <si>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</si>
  <si>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</si>
  <si>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</si>
  <si>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</si>
  <si>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</si>
  <si>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</si>
  <si>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</si>
  <si>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The results for 2015 section benefits allow for basic salary increases of 0.5%, inflation and revaluation of CARE benefits on three different sets of assumptions. The assumed salary increases do not allow for any future promotional salary increases you may receive.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</si>
  <si>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</si>
  <si>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</si>
  <si>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 xml:space="preserve">Pension </t>
  </si>
  <si>
    <t>Reduction factor</t>
  </si>
  <si>
    <t>max pen to give up</t>
  </si>
  <si>
    <t>max lump sum</t>
  </si>
  <si>
    <t>2008/2015 Transitional Member Calculator Notes</t>
  </si>
  <si>
    <t>The results for 2008 section benefits shows the amount of your projected pension at retirement based on your projected pensionable pay at that date.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</si>
  <si>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</si>
  <si>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This calculator only applies to the HSC Pension Scheme in Northern Ireland</t>
  </si>
  <si>
    <t>The calculator will not take account of benefits accrued after Normal Retirement Age</t>
  </si>
  <si>
    <t>HSC Pension Scheme Calculator for 2008 - 2015 Transitional Members - Normal Retirement Age 66</t>
  </si>
  <si>
    <t>To use this calculator you must know your 2008 Scheme pensionable service at your transition date.</t>
  </si>
  <si>
    <t>2008 Section Benefits</t>
  </si>
  <si>
    <t>For example 05/300 displayed on your ABS = 5 years 300 days</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</si>
  <si>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</si>
  <si>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</si>
  <si>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</si>
  <si>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2008 Scheme</t>
  </si>
  <si>
    <t>The additional lump sum for 2008 Scheme cannot exceed the maximum 2008 Scheme Lump Sum displayed in Option 2</t>
  </si>
  <si>
    <t>The benefits displayed for 2015 Scheme membership are based on full years from the age you joined to your retirement age. If you have part years’ service actual benefits may be lower</t>
  </si>
  <si>
    <t>The results do not include any money purchase Additional Voluntary Contributions (AVCs) benefits, added pension that you may have purchased, pension debits (e.g. pension sharing order, scheme pays) or other special arrangements within the schemes. If your 2015 pension includes transferred-in benefits, these are not included in this projection</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</si>
  <si>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</si>
  <si>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</si>
  <si>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</si>
  <si>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</si>
  <si>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</si>
  <si>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</si>
  <si>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Your service and transition date can be found on your Annual Benefit Statement. You can access your Annual Benefit Statement at https://mypension.hscni.net/</t>
  </si>
  <si>
    <t>If your transition date is after your last annual benefit statement date add on the additional service you will accrue up to the transition date</t>
  </si>
  <si>
    <t xml:space="preserve">Option 1. Assuming Standard Pension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</si>
</sst>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04">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9" fillId="2" borderId="28" xfId="0" applyFont="1" applyFill="1" applyBorder="1" applyProtection="1">
      <protection hidden="1"/>
    </xf>
    <xf numFmtId="0" fontId="0" fillId="2" borderId="28" xfId="0" applyFill="1" applyBorder="1" applyProtection="1">
      <protection hidden="1"/>
    </xf>
    <xf numFmtId="0" fontId="0" fillId="2" borderId="29" xfId="0" applyFill="1" applyBorder="1" applyProtection="1">
      <protection hidden="1"/>
    </xf>
    <xf numFmtId="0" fontId="26" fillId="2" borderId="30" xfId="0" applyFont="1" applyFill="1" applyBorder="1" applyProtection="1">
      <protection hidden="1"/>
    </xf>
    <xf numFmtId="0" fontId="0" fillId="2" borderId="31" xfId="0"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0" fillId="0" borderId="30" xfId="0" applyBorder="1" applyProtection="1">
      <protection hidden="1"/>
    </xf>
    <xf numFmtId="0" fontId="17" fillId="2" borderId="30" xfId="0" applyFont="1" applyFill="1" applyBorder="1" applyProtection="1">
      <protection hidden="1"/>
    </xf>
    <xf numFmtId="0" fontId="0" fillId="2" borderId="32" xfId="0" applyFill="1" applyBorder="1" applyProtection="1">
      <protection hidden="1"/>
    </xf>
    <xf numFmtId="0" fontId="0" fillId="2" borderId="33"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9" fillId="16" borderId="28" xfId="0" applyFont="1" applyFill="1" applyBorder="1" applyProtection="1">
      <protection hidden="1"/>
    </xf>
    <xf numFmtId="0" fontId="26" fillId="16" borderId="28" xfId="0" applyFont="1" applyFill="1" applyBorder="1" applyProtection="1">
      <protection hidden="1"/>
    </xf>
    <xf numFmtId="0" fontId="0" fillId="16" borderId="28" xfId="0" applyFill="1" applyBorder="1" applyProtection="1">
      <protection hidden="1"/>
    </xf>
    <xf numFmtId="10" fontId="9" fillId="13" borderId="26" xfId="0" applyNumberFormat="1" applyFont="1" applyFill="1" applyBorder="1" applyProtection="1">
      <protection hidden="1"/>
    </xf>
    <xf numFmtId="0" fontId="6" fillId="2" borderId="0" xfId="0" applyFont="1" applyFill="1" applyProtection="1">
      <protection hidden="1"/>
    </xf>
    <xf numFmtId="7" fontId="9" fillId="13" borderId="26" xfId="0" applyNumberFormat="1" applyFont="1" applyFill="1" applyBorder="1" applyProtection="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0" fontId="25" fillId="2" borderId="32"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0" fontId="11" fillId="2" borderId="0" xfId="0" applyFont="1" applyFill="1" applyBorder="1" applyProtection="1">
      <protection hidden="1"/>
    </xf>
    <xf numFmtId="0" fontId="6" fillId="2" borderId="31" xfId="0" applyFont="1" applyFill="1" applyBorder="1" applyProtection="1">
      <protection hidden="1"/>
    </xf>
    <xf numFmtId="0" fontId="6" fillId="2" borderId="34"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4" fillId="2" borderId="31" xfId="0" applyFont="1"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0" fontId="6" fillId="2" borderId="0" xfId="0" applyFont="1" applyFill="1" applyBorder="1" applyProtection="1">
      <protection locked="0" hidden="1"/>
    </xf>
    <xf numFmtId="164" fontId="6" fillId="0" borderId="0" xfId="0" applyNumberFormat="1" applyFont="1" applyFill="1" applyBorder="1" applyProtection="1">
      <protection hidden="1"/>
    </xf>
    <xf numFmtId="0" fontId="11" fillId="0" borderId="0" xfId="0" applyFont="1" applyAlignment="1" applyProtection="1">
      <alignment wrapText="1"/>
      <protection hidden="1"/>
    </xf>
    <xf numFmtId="0" fontId="6" fillId="0" borderId="0" xfId="0" applyFont="1" applyAlignment="1" applyProtection="1">
      <alignment wrapText="1"/>
      <protection hidden="1"/>
    </xf>
    <xf numFmtId="0" fontId="0" fillId="0" borderId="0" xfId="0" applyAlignment="1" applyProtection="1">
      <alignment wrapText="1"/>
      <protection hidden="1"/>
    </xf>
    <xf numFmtId="0" fontId="28" fillId="0" borderId="0" xfId="0" applyFont="1" applyAlignment="1" applyProtection="1">
      <alignment vertical="center"/>
      <protection hidden="1"/>
    </xf>
    <xf numFmtId="0" fontId="0" fillId="17" borderId="0" xfId="0" applyFill="1" applyProtection="1">
      <protection hidden="1"/>
    </xf>
    <xf numFmtId="0" fontId="0" fillId="0" borderId="0" xfId="0" applyAlignment="1" applyProtection="1">
      <alignment vertical="center"/>
      <protection hidden="1"/>
    </xf>
    <xf numFmtId="0" fontId="6" fillId="2" borderId="0" xfId="0" applyFont="1" applyFill="1" applyBorder="1" applyAlignment="1" applyProtection="1">
      <alignment horizontal="right"/>
      <protection hidden="1"/>
    </xf>
    <xf numFmtId="0" fontId="28" fillId="0" borderId="0" xfId="0" applyFont="1" applyAlignment="1">
      <alignment vertical="center" wrapText="1"/>
    </xf>
    <xf numFmtId="0" fontId="28" fillId="0" borderId="0" xfId="0" applyFont="1" applyAlignment="1">
      <alignment vertical="center"/>
    </xf>
    <xf numFmtId="0" fontId="0" fillId="14" borderId="0" xfId="0" applyFill="1" applyProtection="1">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topLeftCell="A7"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89" t="s">
        <v>60</v>
      </c>
      <c r="C1" s="189"/>
      <c r="D1" s="189"/>
      <c r="E1" s="189"/>
      <c r="F1" s="189"/>
      <c r="G1" s="189"/>
      <c r="H1" s="189"/>
      <c r="I1" s="3"/>
    </row>
    <row r="2" spans="1:9" ht="14.45" x14ac:dyDescent="0.35">
      <c r="A2" s="4"/>
      <c r="B2" s="13"/>
      <c r="C2" s="13"/>
      <c r="D2" s="13"/>
      <c r="E2" s="13"/>
      <c r="F2" s="13"/>
      <c r="G2" s="13"/>
      <c r="H2" s="13"/>
      <c r="I2" s="6"/>
    </row>
    <row r="3" spans="1:9" ht="18" customHeight="1" x14ac:dyDescent="0.25">
      <c r="A3" s="4"/>
      <c r="B3" s="194" t="s">
        <v>19</v>
      </c>
      <c r="C3" s="194"/>
      <c r="D3" s="194"/>
      <c r="E3" s="194"/>
      <c r="F3" s="194"/>
      <c r="G3" s="194"/>
      <c r="H3" s="194"/>
      <c r="I3" s="6"/>
    </row>
    <row r="4" spans="1:9" ht="18" customHeight="1" x14ac:dyDescent="0.25">
      <c r="A4" s="4"/>
      <c r="B4" s="194"/>
      <c r="C4" s="194"/>
      <c r="D4" s="194"/>
      <c r="E4" s="194"/>
      <c r="F4" s="194"/>
      <c r="G4" s="194"/>
      <c r="H4" s="194"/>
      <c r="I4" s="6"/>
    </row>
    <row r="5" spans="1:9" ht="18" customHeight="1" x14ac:dyDescent="0.25">
      <c r="A5" s="4"/>
      <c r="B5" s="194"/>
      <c r="C5" s="194"/>
      <c r="D5" s="194"/>
      <c r="E5" s="194"/>
      <c r="F5" s="194"/>
      <c r="G5" s="194"/>
      <c r="H5" s="194"/>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61</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59</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90" t="s">
        <v>2</v>
      </c>
      <c r="C14" s="191"/>
      <c r="D14" s="58">
        <f>'2015 calculator age 66'!K21</f>
        <v>0</v>
      </c>
      <c r="E14" s="5"/>
      <c r="F14" s="7"/>
      <c r="G14" s="7"/>
      <c r="H14" s="7"/>
      <c r="I14" s="6"/>
    </row>
    <row r="15" spans="1:9" ht="19.5" customHeight="1" x14ac:dyDescent="0.3">
      <c r="A15" s="4"/>
      <c r="B15" s="192" t="s">
        <v>3</v>
      </c>
      <c r="C15" s="193"/>
      <c r="D15" s="62">
        <v>5.0000000000000001E-3</v>
      </c>
      <c r="E15" s="5"/>
      <c r="F15" s="7"/>
      <c r="G15" s="7"/>
      <c r="H15" s="7"/>
      <c r="I15" s="6"/>
    </row>
    <row r="16" spans="1:9" ht="18.75" x14ac:dyDescent="0.3">
      <c r="A16" s="4"/>
      <c r="B16" s="192" t="s">
        <v>44</v>
      </c>
      <c r="C16" s="193"/>
      <c r="D16" s="18">
        <v>0.02</v>
      </c>
      <c r="E16" s="5"/>
      <c r="F16" s="1"/>
      <c r="G16" s="1"/>
      <c r="H16" s="1"/>
      <c r="I16" s="6"/>
    </row>
    <row r="17" spans="1:9" ht="19.5" thickBot="1" x14ac:dyDescent="0.35">
      <c r="A17" s="4"/>
      <c r="B17" s="187"/>
      <c r="C17" s="188"/>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66'!K19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38"/>
  <sheetViews>
    <sheetView topLeftCell="A7" workbookViewId="0">
      <selection activeCell="B29" sqref="B29"/>
    </sheetView>
  </sheetViews>
  <sheetFormatPr defaultRowHeight="15" x14ac:dyDescent="0.25"/>
  <cols>
    <col min="1" max="1" width="9.140625" style="31"/>
    <col min="2" max="2" width="191.85546875" style="179" customWidth="1"/>
    <col min="3" max="16384" width="9.140625" style="31"/>
  </cols>
  <sheetData>
    <row r="1" spans="2:2" ht="21" x14ac:dyDescent="0.35">
      <c r="B1" s="177" t="s">
        <v>128</v>
      </c>
    </row>
    <row r="3" spans="2:2" ht="18.75" x14ac:dyDescent="0.3">
      <c r="B3" s="178" t="s">
        <v>123</v>
      </c>
    </row>
    <row r="4" spans="2:2" x14ac:dyDescent="0.25">
      <c r="B4" s="179" t="s">
        <v>122</v>
      </c>
    </row>
    <row r="5" spans="2:2" x14ac:dyDescent="0.25">
      <c r="B5" s="179" t="s">
        <v>129</v>
      </c>
    </row>
    <row r="6" spans="2:2" ht="30" x14ac:dyDescent="0.25">
      <c r="B6" s="179" t="s">
        <v>121</v>
      </c>
    </row>
    <row r="8" spans="2:2" ht="30" x14ac:dyDescent="0.25">
      <c r="B8" s="179" t="s">
        <v>130</v>
      </c>
    </row>
    <row r="9" spans="2:2" x14ac:dyDescent="0.25">
      <c r="B9" s="179" t="s">
        <v>120</v>
      </c>
    </row>
    <row r="11" spans="2:2" x14ac:dyDescent="0.25">
      <c r="B11" s="179" t="s">
        <v>119</v>
      </c>
    </row>
    <row r="12" spans="2:2" ht="45" x14ac:dyDescent="0.25">
      <c r="B12" s="179" t="s">
        <v>118</v>
      </c>
    </row>
    <row r="14" spans="2:2" ht="30" x14ac:dyDescent="0.25">
      <c r="B14" s="184" t="s">
        <v>143</v>
      </c>
    </row>
    <row r="15" spans="2:2" x14ac:dyDescent="0.25">
      <c r="B15" s="179" t="s">
        <v>117</v>
      </c>
    </row>
    <row r="17" spans="2:2" ht="30" x14ac:dyDescent="0.25">
      <c r="B17" s="179" t="s">
        <v>116</v>
      </c>
    </row>
    <row r="18" spans="2:2" x14ac:dyDescent="0.25">
      <c r="B18" s="179" t="s">
        <v>115</v>
      </c>
    </row>
    <row r="20" spans="2:2" ht="18.75" x14ac:dyDescent="0.3">
      <c r="B20" s="178" t="s">
        <v>114</v>
      </c>
    </row>
    <row r="22" spans="2:2" x14ac:dyDescent="0.25">
      <c r="B22" s="179" t="s">
        <v>113</v>
      </c>
    </row>
    <row r="23" spans="2:2" x14ac:dyDescent="0.25">
      <c r="B23" s="179" t="s">
        <v>131</v>
      </c>
    </row>
    <row r="24" spans="2:2" x14ac:dyDescent="0.25">
      <c r="B24" s="179" t="s">
        <v>112</v>
      </c>
    </row>
    <row r="25" spans="2:2" ht="30" x14ac:dyDescent="0.25">
      <c r="B25" s="179" t="s">
        <v>111</v>
      </c>
    </row>
    <row r="26" spans="2:2" x14ac:dyDescent="0.25">
      <c r="B26" s="179" t="s">
        <v>110</v>
      </c>
    </row>
    <row r="27" spans="2:2" x14ac:dyDescent="0.25">
      <c r="B27" s="179" t="s">
        <v>109</v>
      </c>
    </row>
    <row r="28" spans="2:2" ht="30" x14ac:dyDescent="0.25">
      <c r="B28" s="179" t="s">
        <v>108</v>
      </c>
    </row>
    <row r="29" spans="2:2" x14ac:dyDescent="0.25">
      <c r="B29" s="185" t="s">
        <v>144</v>
      </c>
    </row>
    <row r="30" spans="2:2" x14ac:dyDescent="0.25">
      <c r="B30" s="180" t="s">
        <v>132</v>
      </c>
    </row>
    <row r="31" spans="2:2" x14ac:dyDescent="0.25">
      <c r="B31" s="180" t="s">
        <v>142</v>
      </c>
    </row>
    <row r="32" spans="2:2" x14ac:dyDescent="0.25">
      <c r="B32" s="182"/>
    </row>
    <row r="33" spans="2:2" ht="21" x14ac:dyDescent="0.35">
      <c r="B33" s="177" t="s">
        <v>107</v>
      </c>
    </row>
    <row r="35" spans="2:2" x14ac:dyDescent="0.25">
      <c r="B35" s="179" t="s">
        <v>106</v>
      </c>
    </row>
    <row r="36" spans="2:2" x14ac:dyDescent="0.25">
      <c r="B36" s="179" t="s">
        <v>105</v>
      </c>
    </row>
    <row r="37" spans="2:2" x14ac:dyDescent="0.25">
      <c r="B37" s="179" t="s">
        <v>104</v>
      </c>
    </row>
    <row r="38" spans="2:2" x14ac:dyDescent="0.25">
      <c r="B38" s="179" t="s">
        <v>103</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195" t="s">
        <v>10</v>
      </c>
      <c r="B1" s="195"/>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I32" sqref="I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02" t="s">
        <v>17</v>
      </c>
      <c r="B1" s="203"/>
      <c r="C1" s="53" t="s">
        <v>18</v>
      </c>
    </row>
    <row r="2" spans="1:3" ht="18.600000000000001" x14ac:dyDescent="0.45">
      <c r="A2" s="196" t="s">
        <v>4</v>
      </c>
      <c r="B2" s="197"/>
      <c r="C2" s="54">
        <f>1/54</f>
        <v>1.8518518518518517E-2</v>
      </c>
    </row>
    <row r="3" spans="1:3" ht="18.75" x14ac:dyDescent="0.3">
      <c r="A3" s="198" t="s">
        <v>14</v>
      </c>
      <c r="B3" s="199"/>
      <c r="C3" s="55">
        <v>42095</v>
      </c>
    </row>
    <row r="4" spans="1:3" ht="18.75" x14ac:dyDescent="0.3">
      <c r="A4" s="198" t="s">
        <v>15</v>
      </c>
      <c r="B4" s="199"/>
      <c r="C4" s="56">
        <v>66</v>
      </c>
    </row>
    <row r="5" spans="1:3" ht="19.5" thickBot="1" x14ac:dyDescent="0.35">
      <c r="A5" s="200" t="s">
        <v>6</v>
      </c>
      <c r="B5" s="201"/>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59"/>
  <sheetViews>
    <sheetView topLeftCell="A82" workbookViewId="0">
      <selection activeCell="Z100" sqref="Z100:Z159"/>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24</v>
      </c>
    </row>
    <row r="2" spans="1:44" ht="18.75" x14ac:dyDescent="0.3">
      <c r="A2" s="75" t="s">
        <v>59</v>
      </c>
      <c r="C2" s="76"/>
      <c r="D2" s="76"/>
      <c r="E2" s="76"/>
      <c r="F2" s="76"/>
      <c r="G2" s="76"/>
      <c r="H2" s="76"/>
    </row>
    <row r="3" spans="1:44" ht="18.75" x14ac:dyDescent="0.3">
      <c r="A3" s="65" t="s">
        <v>25</v>
      </c>
      <c r="B3" s="69"/>
      <c r="C3" s="69"/>
      <c r="D3" s="69"/>
      <c r="E3" s="69"/>
      <c r="F3" s="69"/>
      <c r="G3" s="69"/>
      <c r="H3" s="69"/>
      <c r="I3" s="69"/>
      <c r="J3" s="69"/>
      <c r="K3" s="69"/>
      <c r="L3" s="69"/>
      <c r="M3" s="69"/>
      <c r="N3" s="69"/>
      <c r="O3" s="69"/>
      <c r="P3" s="69"/>
      <c r="Q3" s="69"/>
      <c r="R3" s="69"/>
    </row>
    <row r="4" spans="1:44" ht="18.75" x14ac:dyDescent="0.3">
      <c r="A4" s="65" t="s">
        <v>42</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Y4" s="80">
        <v>55</v>
      </c>
      <c r="Z4" s="80">
        <v>0.60299999999999998</v>
      </c>
      <c r="AK4" s="80">
        <v>0.60299999999999998</v>
      </c>
    </row>
    <row r="5" spans="1:44" ht="18.75" x14ac:dyDescent="0.3">
      <c r="A5" s="65" t="s">
        <v>26</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Y5" s="80">
        <v>55.083333333333336</v>
      </c>
      <c r="Z5" s="80">
        <v>0.60499999999999998</v>
      </c>
      <c r="AK5" s="80">
        <v>0.60499999999999998</v>
      </c>
    </row>
    <row r="6" spans="1:44" ht="18.75" x14ac:dyDescent="0.3">
      <c r="P6" s="69"/>
      <c r="Q6" s="69"/>
      <c r="R6" s="69"/>
      <c r="T6" s="64">
        <v>57</v>
      </c>
      <c r="U6" s="67" t="e">
        <f>LOOKUP(T6,'2015 Pension Calculation'!D22:D68,'2015 Pension Calculation'!H22:H68)</f>
        <v>#N/A</v>
      </c>
      <c r="Y6" s="80">
        <v>55.166666666666664</v>
      </c>
      <c r="Z6" s="80">
        <v>0.60699999999999998</v>
      </c>
      <c r="AK6" s="80">
        <v>0.60699999999999998</v>
      </c>
    </row>
    <row r="7" spans="1:44" ht="18.75" x14ac:dyDescent="0.3">
      <c r="A7" s="65" t="s">
        <v>27</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Y7" s="80">
        <v>55.25</v>
      </c>
      <c r="Z7" s="80">
        <v>0.60899999999999999</v>
      </c>
      <c r="AK7" s="80">
        <v>0.60899999999999999</v>
      </c>
    </row>
    <row r="8" spans="1:44" ht="18.75" x14ac:dyDescent="0.3">
      <c r="A8" s="65" t="s">
        <v>43</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Y8" s="80">
        <v>55.333333333333336</v>
      </c>
      <c r="Z8" s="80">
        <v>0.61099999999999999</v>
      </c>
      <c r="AK8" s="80">
        <v>0.61099999999999999</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Y9" s="80">
        <v>55.416666666666664</v>
      </c>
      <c r="Z9" s="80">
        <v>0.61299999999999999</v>
      </c>
      <c r="AK9" s="80">
        <v>0.61299999999999999</v>
      </c>
    </row>
    <row r="10" spans="1:44" ht="18.75" x14ac:dyDescent="0.3">
      <c r="A10" s="65" t="s">
        <v>30</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Y10" s="80">
        <v>55.5</v>
      </c>
      <c r="Z10" s="80">
        <v>0.61499999999999999</v>
      </c>
      <c r="AK10" s="80">
        <v>0.61499999999999999</v>
      </c>
    </row>
    <row r="11" spans="1:44" ht="18.75" x14ac:dyDescent="0.3">
      <c r="A11" s="65" t="s">
        <v>31</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Y11" s="80">
        <v>55.583333333333336</v>
      </c>
      <c r="Z11" s="80">
        <v>0.61699999999999999</v>
      </c>
      <c r="AG11" s="64">
        <v>1</v>
      </c>
      <c r="AH11" s="68">
        <v>12</v>
      </c>
      <c r="AI11" s="64">
        <v>8.3333333333333329E-2</v>
      </c>
      <c r="AK11" s="80">
        <v>0.61699999999999999</v>
      </c>
    </row>
    <row r="12" spans="1:44" ht="18.75" x14ac:dyDescent="0.3">
      <c r="A12" s="66" t="s">
        <v>22</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Y12" s="80">
        <v>55.666666666666664</v>
      </c>
      <c r="Z12" s="80">
        <v>0.61899999999999999</v>
      </c>
      <c r="AC12" s="64" t="s">
        <v>34</v>
      </c>
      <c r="AE12" s="64" t="s">
        <v>35</v>
      </c>
      <c r="AG12" s="64">
        <v>2</v>
      </c>
      <c r="AH12" s="68">
        <v>12</v>
      </c>
      <c r="AI12" s="64">
        <v>0.16666666666666666</v>
      </c>
      <c r="AK12" s="80">
        <v>0.61899999999999999</v>
      </c>
    </row>
    <row r="13" spans="1:44" x14ac:dyDescent="0.25">
      <c r="T13" s="64">
        <v>64</v>
      </c>
      <c r="U13" s="67" t="e">
        <f>LOOKUP(T13,'2015 Pension Calculation'!D29:D75,'2015 Pension Calculation'!H29:H75)</f>
        <v>#N/A</v>
      </c>
      <c r="Y13" s="80">
        <v>55.75</v>
      </c>
      <c r="Z13" s="80">
        <v>0.621</v>
      </c>
      <c r="AG13" s="64">
        <v>3</v>
      </c>
      <c r="AH13" s="68">
        <v>12</v>
      </c>
      <c r="AI13" s="64">
        <v>0.25</v>
      </c>
      <c r="AK13" s="80">
        <v>0.621</v>
      </c>
    </row>
    <row r="14" spans="1:44" ht="18.75" x14ac:dyDescent="0.3">
      <c r="A14" s="65" t="s">
        <v>37</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Y14" s="80">
        <v>55.833333333333336</v>
      </c>
      <c r="Z14" s="80">
        <v>0.623</v>
      </c>
      <c r="AB14" s="68"/>
      <c r="AC14" s="64">
        <v>0</v>
      </c>
      <c r="AD14" s="68"/>
      <c r="AE14" s="64">
        <v>60</v>
      </c>
      <c r="AG14" s="64">
        <v>4</v>
      </c>
      <c r="AH14" s="68">
        <v>12</v>
      </c>
      <c r="AI14" s="64">
        <v>0.33333333333333331</v>
      </c>
      <c r="AK14" s="80">
        <v>0.623</v>
      </c>
      <c r="AR14" s="64">
        <f>J17+(K17/12)</f>
        <v>0</v>
      </c>
    </row>
    <row r="15" spans="1:44" ht="18.75" x14ac:dyDescent="0.3">
      <c r="A15" s="65"/>
      <c r="B15" s="65"/>
      <c r="C15" s="65"/>
      <c r="D15" s="65"/>
      <c r="E15" s="65"/>
      <c r="F15" s="69"/>
      <c r="G15" s="69"/>
      <c r="J15" s="70"/>
      <c r="K15" s="69"/>
      <c r="T15" s="64">
        <v>66</v>
      </c>
      <c r="U15" s="67" t="e">
        <f>LOOKUP(T15,'2015 Pension Calculation'!D31:D77,'2015 Pension Calculation'!H31:H77)</f>
        <v>#N/A</v>
      </c>
      <c r="Y15" s="80">
        <v>55.916666666666664</v>
      </c>
      <c r="Z15" s="80">
        <v>0.625</v>
      </c>
      <c r="AG15" s="64">
        <v>5</v>
      </c>
      <c r="AH15" s="68">
        <v>12</v>
      </c>
      <c r="AI15" s="64">
        <v>0.41666666666666669</v>
      </c>
      <c r="AK15" s="80">
        <v>0.625</v>
      </c>
    </row>
    <row r="16" spans="1:44" ht="18.75" x14ac:dyDescent="0.3">
      <c r="A16" s="69"/>
      <c r="B16" s="69"/>
      <c r="C16" s="69"/>
      <c r="D16" s="69"/>
      <c r="E16" s="69"/>
      <c r="F16" s="69"/>
      <c r="G16" s="69"/>
      <c r="J16" s="65" t="s">
        <v>32</v>
      </c>
      <c r="K16" s="65" t="s">
        <v>33</v>
      </c>
      <c r="Y16" s="80">
        <v>56</v>
      </c>
      <c r="Z16" s="80">
        <v>0.627</v>
      </c>
      <c r="AG16" s="64">
        <v>6</v>
      </c>
      <c r="AH16" s="68">
        <v>12</v>
      </c>
      <c r="AI16" s="64">
        <v>0.5</v>
      </c>
      <c r="AK16" s="80">
        <v>0.627</v>
      </c>
    </row>
    <row r="17" spans="1:37" ht="18.75" x14ac:dyDescent="0.3">
      <c r="A17" s="65" t="s">
        <v>39</v>
      </c>
      <c r="B17" s="65"/>
      <c r="C17" s="65"/>
      <c r="D17" s="65"/>
      <c r="E17" s="65"/>
      <c r="F17" s="69"/>
      <c r="G17" s="69"/>
      <c r="J17" s="78">
        <f>'2015 calculator age 66'!K28</f>
        <v>0</v>
      </c>
      <c r="K17" s="78">
        <f>'2015 calculator age 66'!M28</f>
        <v>0</v>
      </c>
      <c r="W17" s="64" t="e">
        <f>LOOKUP(J17,'2015 Pension Calculation'!D20:D79,'2015 Pension Calculation'!B20:B79)</f>
        <v>#N/A</v>
      </c>
      <c r="Y17" s="80">
        <v>56.083333333333336</v>
      </c>
      <c r="Z17" s="80">
        <v>0.629</v>
      </c>
      <c r="AG17" s="64">
        <v>7</v>
      </c>
      <c r="AH17" s="68">
        <v>12</v>
      </c>
      <c r="AI17" s="64">
        <v>0.58333333333333337</v>
      </c>
      <c r="AK17" s="80">
        <v>0.629</v>
      </c>
    </row>
    <row r="18" spans="1:37" ht="18.75" x14ac:dyDescent="0.3">
      <c r="A18" s="69"/>
      <c r="B18" s="69"/>
      <c r="C18" s="69"/>
      <c r="D18" s="69"/>
      <c r="E18" s="69"/>
      <c r="F18" s="69"/>
      <c r="G18" s="69"/>
      <c r="J18" s="69"/>
      <c r="K18" s="65"/>
      <c r="Y18" s="80">
        <v>56.166666666666664</v>
      </c>
      <c r="Z18" s="80">
        <v>0.63100000000000001</v>
      </c>
      <c r="AG18" s="64">
        <v>8</v>
      </c>
      <c r="AH18" s="68">
        <v>12</v>
      </c>
      <c r="AI18" s="64">
        <v>0.66666666666666663</v>
      </c>
      <c r="AK18" s="80">
        <v>0.63100000000000001</v>
      </c>
    </row>
    <row r="19" spans="1:37" ht="18.75" x14ac:dyDescent="0.3">
      <c r="A19" s="65" t="s">
        <v>38</v>
      </c>
      <c r="B19" s="65"/>
      <c r="C19" s="65"/>
      <c r="D19" s="65"/>
      <c r="E19" s="65"/>
      <c r="F19" s="69"/>
      <c r="G19" s="69"/>
      <c r="J19" s="73" t="e">
        <f>LOOKUP(W17,Revaluation!C2:BB2,Revaluation!C58:BC58)</f>
        <v>#N/A</v>
      </c>
      <c r="K19" s="69"/>
      <c r="Y19" s="80">
        <v>56.25</v>
      </c>
      <c r="Z19" s="80">
        <v>0.63400000000000001</v>
      </c>
      <c r="AG19" s="64">
        <v>9</v>
      </c>
      <c r="AH19" s="68">
        <v>12</v>
      </c>
      <c r="AI19" s="64">
        <v>0.75</v>
      </c>
      <c r="AK19" s="80">
        <v>0.63400000000000001</v>
      </c>
    </row>
    <row r="20" spans="1:37" ht="18.75" x14ac:dyDescent="0.3">
      <c r="A20" s="65"/>
      <c r="B20" s="65"/>
      <c r="C20" s="65"/>
      <c r="D20" s="65"/>
      <c r="E20" s="65"/>
      <c r="F20" s="69"/>
      <c r="G20" s="69"/>
      <c r="J20" s="69"/>
      <c r="K20" s="69"/>
      <c r="T20" s="64">
        <v>55</v>
      </c>
      <c r="U20" s="64">
        <v>0.55400000000000005</v>
      </c>
      <c r="W20" s="64">
        <v>67</v>
      </c>
      <c r="Y20" s="80">
        <v>56.333333333333336</v>
      </c>
      <c r="Z20" s="80">
        <v>0.63600000000000001</v>
      </c>
      <c r="AG20" s="64">
        <v>10</v>
      </c>
      <c r="AH20" s="68">
        <v>12</v>
      </c>
      <c r="AI20" s="64">
        <v>0.83333333333333337</v>
      </c>
      <c r="AK20" s="80">
        <v>0.63600000000000001</v>
      </c>
    </row>
    <row r="21" spans="1:37" ht="18.75" x14ac:dyDescent="0.3">
      <c r="A21" s="65" t="s">
        <v>23</v>
      </c>
      <c r="B21" s="65"/>
      <c r="C21" s="65"/>
      <c r="D21" s="65"/>
      <c r="F21" s="69"/>
      <c r="G21" s="69"/>
      <c r="J21" s="81" t="e">
        <f>LOOKUP(AR14,Y4:Y159,Z4:Z159)</f>
        <v>#N/A</v>
      </c>
      <c r="K21" s="69"/>
      <c r="T21" s="64">
        <v>56</v>
      </c>
      <c r="U21" s="64">
        <v>0.57799999999999996</v>
      </c>
      <c r="Y21" s="80">
        <v>56.416666666666664</v>
      </c>
      <c r="Z21" s="80">
        <v>0.63800000000000001</v>
      </c>
      <c r="AG21" s="64">
        <v>11</v>
      </c>
      <c r="AH21" s="68">
        <v>12</v>
      </c>
      <c r="AI21" s="64">
        <v>0.91666666666666663</v>
      </c>
      <c r="AK21" s="80">
        <v>0.63800000000000001</v>
      </c>
    </row>
    <row r="22" spans="1:37" ht="18.75" x14ac:dyDescent="0.3">
      <c r="A22" s="65" t="s">
        <v>36</v>
      </c>
      <c r="B22" s="65"/>
      <c r="C22" s="65"/>
      <c r="D22" s="65"/>
      <c r="F22" s="71"/>
      <c r="G22" s="71"/>
      <c r="J22" s="74" t="e">
        <f>SUM(1-J21)</f>
        <v>#N/A</v>
      </c>
      <c r="K22" s="69"/>
      <c r="T22" s="64">
        <v>57</v>
      </c>
      <c r="U22" s="64">
        <v>0.60499999999999998</v>
      </c>
      <c r="Y22" s="80">
        <v>56.5</v>
      </c>
      <c r="Z22" s="80">
        <v>0.64</v>
      </c>
      <c r="AK22" s="80">
        <v>0.64</v>
      </c>
    </row>
    <row r="23" spans="1:37" ht="18.75" x14ac:dyDescent="0.3">
      <c r="A23" s="65"/>
      <c r="B23" s="65"/>
      <c r="C23" s="65"/>
      <c r="D23" s="65"/>
      <c r="E23" s="65"/>
      <c r="F23" s="69"/>
      <c r="G23" s="69"/>
      <c r="J23" s="69"/>
      <c r="K23" s="69"/>
      <c r="T23" s="64">
        <v>58</v>
      </c>
      <c r="U23" s="64">
        <v>0.63300000000000001</v>
      </c>
      <c r="Y23" s="80">
        <v>56.583333333333336</v>
      </c>
      <c r="Z23" s="80">
        <v>0.64200000000000002</v>
      </c>
      <c r="AK23" s="80">
        <v>0.64200000000000002</v>
      </c>
    </row>
    <row r="24" spans="1:37" ht="18.75" x14ac:dyDescent="0.3">
      <c r="A24" s="65" t="s">
        <v>28</v>
      </c>
      <c r="B24" s="65"/>
      <c r="C24" s="65"/>
      <c r="D24" s="65"/>
      <c r="E24" s="65"/>
      <c r="F24" s="69"/>
      <c r="G24" s="69"/>
      <c r="J24" s="79" t="e">
        <f>J19*J21</f>
        <v>#N/A</v>
      </c>
      <c r="K24" s="69"/>
      <c r="T24" s="64">
        <v>59</v>
      </c>
      <c r="U24" s="64">
        <v>0.66300000000000003</v>
      </c>
      <c r="Y24" s="80">
        <v>56.666666666666664</v>
      </c>
      <c r="Z24" s="80">
        <v>0.64400000000000002</v>
      </c>
      <c r="AK24" s="80">
        <v>0.64400000000000002</v>
      </c>
    </row>
    <row r="25" spans="1:37" ht="18.75" x14ac:dyDescent="0.3">
      <c r="A25" s="69"/>
      <c r="B25" s="69"/>
      <c r="C25" s="69"/>
      <c r="D25" s="69"/>
      <c r="E25" s="69"/>
      <c r="F25" s="69"/>
      <c r="G25" s="69"/>
      <c r="J25" s="69"/>
      <c r="K25" s="69"/>
      <c r="T25" s="64">
        <v>60</v>
      </c>
      <c r="U25" s="64">
        <v>0.69499999999999995</v>
      </c>
      <c r="Y25" s="80">
        <v>56.75</v>
      </c>
      <c r="Z25" s="80">
        <v>0.64700000000000002</v>
      </c>
      <c r="AK25" s="80">
        <v>0.64700000000000002</v>
      </c>
    </row>
    <row r="26" spans="1:37" ht="18.75" x14ac:dyDescent="0.3">
      <c r="A26" s="65" t="s">
        <v>29</v>
      </c>
      <c r="B26" s="69"/>
      <c r="C26" s="69"/>
      <c r="D26" s="69"/>
      <c r="E26" s="69"/>
      <c r="F26" s="69"/>
      <c r="G26" s="69"/>
      <c r="J26" s="79" t="e">
        <f>J24/12</f>
        <v>#N/A</v>
      </c>
      <c r="K26" s="69"/>
      <c r="T26" s="64">
        <v>61</v>
      </c>
      <c r="U26" s="64">
        <v>0.73</v>
      </c>
      <c r="Y26" s="80">
        <v>56.833333333333336</v>
      </c>
      <c r="Z26" s="80">
        <v>0.64900000000000002</v>
      </c>
      <c r="AK26" s="80">
        <v>0.64900000000000002</v>
      </c>
    </row>
    <row r="27" spans="1:37" ht="15.75" x14ac:dyDescent="0.25">
      <c r="A27" s="72"/>
      <c r="B27" s="72"/>
      <c r="C27" s="72"/>
      <c r="D27" s="72"/>
      <c r="E27" s="72"/>
      <c r="F27" s="72"/>
      <c r="G27" s="72"/>
      <c r="H27" s="72"/>
      <c r="I27" s="72"/>
      <c r="J27" s="72"/>
      <c r="K27" s="72"/>
      <c r="T27" s="64">
        <v>62</v>
      </c>
      <c r="U27" s="64">
        <v>0.76700000000000002</v>
      </c>
      <c r="Y27" s="80">
        <v>56.916666666666664</v>
      </c>
      <c r="Z27" s="80">
        <v>0.65100000000000002</v>
      </c>
      <c r="AK27" s="80">
        <v>0.65100000000000002</v>
      </c>
    </row>
    <row r="28" spans="1:37" ht="15.75" x14ac:dyDescent="0.25">
      <c r="A28" s="72"/>
      <c r="B28" s="72"/>
      <c r="C28" s="72"/>
      <c r="D28" s="72"/>
      <c r="E28" s="72"/>
      <c r="F28" s="72"/>
      <c r="G28" s="72"/>
      <c r="H28" s="72"/>
      <c r="I28" s="72"/>
      <c r="J28" s="72"/>
      <c r="K28" s="72"/>
      <c r="T28" s="64">
        <v>64</v>
      </c>
      <c r="U28" s="64">
        <v>0.84899999999999998</v>
      </c>
      <c r="Y28" s="80">
        <v>57</v>
      </c>
      <c r="Z28" s="80">
        <v>0.65300000000000002</v>
      </c>
      <c r="AK28" s="80">
        <v>0.65300000000000002</v>
      </c>
    </row>
    <row r="29" spans="1:37" x14ac:dyDescent="0.25">
      <c r="T29" s="64">
        <v>63</v>
      </c>
      <c r="U29" s="64">
        <v>0.80700000000000005</v>
      </c>
      <c r="Y29" s="80">
        <v>57.083333333333336</v>
      </c>
      <c r="Z29" s="80">
        <v>0.65500000000000003</v>
      </c>
      <c r="AK29" s="80">
        <v>0.65500000000000003</v>
      </c>
    </row>
    <row r="30" spans="1:37" x14ac:dyDescent="0.25">
      <c r="T30" s="64">
        <v>65</v>
      </c>
      <c r="U30" s="64">
        <v>0.89600000000000002</v>
      </c>
      <c r="Y30" s="80">
        <v>57.166666666666664</v>
      </c>
      <c r="Z30" s="80">
        <v>0.65800000000000003</v>
      </c>
      <c r="AK30" s="80">
        <v>0.65800000000000003</v>
      </c>
    </row>
    <row r="31" spans="1:37" x14ac:dyDescent="0.25">
      <c r="T31" s="64">
        <v>66</v>
      </c>
      <c r="U31" s="64">
        <v>0.94599999999999995</v>
      </c>
      <c r="Y31" s="80">
        <v>57.25</v>
      </c>
      <c r="Z31" s="80">
        <v>0.66</v>
      </c>
      <c r="AK31" s="80">
        <v>0.66</v>
      </c>
    </row>
    <row r="32" spans="1:37" x14ac:dyDescent="0.25">
      <c r="Y32" s="80">
        <v>57.333333333333336</v>
      </c>
      <c r="Z32" s="80">
        <v>0.66200000000000003</v>
      </c>
      <c r="AK32" s="80">
        <v>0.66200000000000003</v>
      </c>
    </row>
    <row r="33" spans="25:37" x14ac:dyDescent="0.25">
      <c r="Y33" s="80">
        <v>57.416666666666664</v>
      </c>
      <c r="Z33" s="80">
        <v>0.66500000000000004</v>
      </c>
      <c r="AK33" s="80">
        <v>0.66500000000000004</v>
      </c>
    </row>
    <row r="34" spans="25:37" x14ac:dyDescent="0.25">
      <c r="Y34" s="80">
        <v>57.5</v>
      </c>
      <c r="Z34" s="80">
        <v>0.66700000000000004</v>
      </c>
      <c r="AK34" s="80">
        <v>0.66700000000000004</v>
      </c>
    </row>
    <row r="35" spans="25:37" x14ac:dyDescent="0.25">
      <c r="Y35" s="80">
        <v>57.583333333333336</v>
      </c>
      <c r="Z35" s="80">
        <v>0.66900000000000004</v>
      </c>
      <c r="AK35" s="80">
        <v>0.66900000000000004</v>
      </c>
    </row>
    <row r="36" spans="25:37" x14ac:dyDescent="0.25">
      <c r="Y36" s="80">
        <v>57.666666666666664</v>
      </c>
      <c r="Z36" s="80">
        <v>0.67200000000000004</v>
      </c>
      <c r="AK36" s="80">
        <v>0.67200000000000004</v>
      </c>
    </row>
    <row r="37" spans="25:37" x14ac:dyDescent="0.25">
      <c r="Y37" s="80">
        <v>57.75</v>
      </c>
      <c r="Z37" s="80">
        <v>0.67400000000000004</v>
      </c>
      <c r="AK37" s="80">
        <v>0.67400000000000004</v>
      </c>
    </row>
    <row r="38" spans="25:37" x14ac:dyDescent="0.25">
      <c r="Y38" s="80">
        <v>57.833333333333336</v>
      </c>
      <c r="Z38" s="80">
        <v>0.67600000000000005</v>
      </c>
      <c r="AK38" s="80">
        <v>0.67600000000000005</v>
      </c>
    </row>
    <row r="39" spans="25:37" x14ac:dyDescent="0.25">
      <c r="Y39" s="80">
        <v>57.916666666666664</v>
      </c>
      <c r="Z39" s="80">
        <v>0.67900000000000005</v>
      </c>
      <c r="AK39" s="80">
        <v>0.67900000000000005</v>
      </c>
    </row>
    <row r="40" spans="25:37" x14ac:dyDescent="0.25">
      <c r="Y40" s="80">
        <v>58</v>
      </c>
      <c r="Z40" s="80">
        <v>0.68100000000000005</v>
      </c>
      <c r="AK40" s="80">
        <v>0.68100000000000005</v>
      </c>
    </row>
    <row r="41" spans="25:37" x14ac:dyDescent="0.25">
      <c r="Y41" s="80">
        <v>58.083333333333336</v>
      </c>
      <c r="Z41" s="80">
        <v>0.68300000000000005</v>
      </c>
      <c r="AK41" s="80">
        <v>0.68300000000000005</v>
      </c>
    </row>
    <row r="42" spans="25:37" x14ac:dyDescent="0.25">
      <c r="Y42" s="80">
        <v>58.166666666666664</v>
      </c>
      <c r="Z42" s="80">
        <v>0.68600000000000005</v>
      </c>
      <c r="AK42" s="80">
        <v>0.68600000000000005</v>
      </c>
    </row>
    <row r="43" spans="25:37" x14ac:dyDescent="0.25">
      <c r="Y43" s="80">
        <v>58.25</v>
      </c>
      <c r="Z43" s="80">
        <v>0.68799999999999994</v>
      </c>
      <c r="AK43" s="80">
        <v>0.68799999999999994</v>
      </c>
    </row>
    <row r="44" spans="25:37" x14ac:dyDescent="0.25">
      <c r="Y44" s="80">
        <v>58.333333333333336</v>
      </c>
      <c r="Z44" s="80">
        <v>0.69099999999999995</v>
      </c>
      <c r="AK44" s="80">
        <v>0.69099999999999995</v>
      </c>
    </row>
    <row r="45" spans="25:37" x14ac:dyDescent="0.25">
      <c r="Y45" s="80">
        <v>58.416666666666664</v>
      </c>
      <c r="Z45" s="80">
        <v>0.69299999999999995</v>
      </c>
      <c r="AK45" s="80">
        <v>0.69299999999999995</v>
      </c>
    </row>
    <row r="46" spans="25:37" x14ac:dyDescent="0.25">
      <c r="Y46" s="80">
        <v>58.5</v>
      </c>
      <c r="Z46" s="80">
        <v>0.69599999999999995</v>
      </c>
      <c r="AK46" s="80">
        <v>0.69599999999999995</v>
      </c>
    </row>
    <row r="47" spans="25:37" x14ac:dyDescent="0.25">
      <c r="Y47" s="80">
        <v>58.583333333333336</v>
      </c>
      <c r="Z47" s="80">
        <v>0.69799999999999995</v>
      </c>
      <c r="AK47" s="80">
        <v>0.69799999999999995</v>
      </c>
    </row>
    <row r="48" spans="25:37" x14ac:dyDescent="0.25">
      <c r="Y48" s="80">
        <v>58.666666666666664</v>
      </c>
      <c r="Z48" s="80">
        <v>0.70099999999999996</v>
      </c>
      <c r="AK48" s="80">
        <v>0.70099999999999996</v>
      </c>
    </row>
    <row r="49" spans="25:37" x14ac:dyDescent="0.25">
      <c r="Y49" s="80">
        <v>58.75</v>
      </c>
      <c r="Z49" s="80">
        <v>0.70299999999999996</v>
      </c>
      <c r="AK49" s="80">
        <v>0.70299999999999996</v>
      </c>
    </row>
    <row r="50" spans="25:37" x14ac:dyDescent="0.25">
      <c r="Y50" s="80">
        <v>58.833333333333336</v>
      </c>
      <c r="Z50" s="80">
        <v>0.70599999999999996</v>
      </c>
      <c r="AK50" s="80">
        <v>0.70599999999999996</v>
      </c>
    </row>
    <row r="51" spans="25:37" x14ac:dyDescent="0.25">
      <c r="Y51" s="80">
        <v>58.916666666666664</v>
      </c>
      <c r="Z51" s="80">
        <v>0.70799999999999996</v>
      </c>
      <c r="AK51" s="80">
        <v>0.70799999999999996</v>
      </c>
    </row>
    <row r="52" spans="25:37" x14ac:dyDescent="0.25">
      <c r="Y52" s="80">
        <v>59</v>
      </c>
      <c r="Z52" s="80">
        <v>0.71099999999999997</v>
      </c>
      <c r="AK52" s="80">
        <v>0.71099999999999997</v>
      </c>
    </row>
    <row r="53" spans="25:37" x14ac:dyDescent="0.25">
      <c r="Y53" s="80">
        <v>59.083333333333336</v>
      </c>
      <c r="Z53" s="80">
        <v>0.71299999999999997</v>
      </c>
      <c r="AK53" s="80">
        <v>0.71299999999999997</v>
      </c>
    </row>
    <row r="54" spans="25:37" x14ac:dyDescent="0.25">
      <c r="Y54" s="80">
        <v>59.166666666666664</v>
      </c>
      <c r="Z54" s="80">
        <v>0.71599999999999997</v>
      </c>
      <c r="AK54" s="80">
        <v>0.71599999999999997</v>
      </c>
    </row>
    <row r="55" spans="25:37" x14ac:dyDescent="0.25">
      <c r="Y55" s="80">
        <v>59.25</v>
      </c>
      <c r="Z55" s="80">
        <v>0.71899999999999997</v>
      </c>
      <c r="AK55" s="80">
        <v>0.71899999999999997</v>
      </c>
    </row>
    <row r="56" spans="25:37" x14ac:dyDescent="0.25">
      <c r="Y56" s="80">
        <v>59.333333333333336</v>
      </c>
      <c r="Z56" s="80">
        <v>0.72099999999999997</v>
      </c>
      <c r="AK56" s="80">
        <v>0.72099999999999997</v>
      </c>
    </row>
    <row r="57" spans="25:37" x14ac:dyDescent="0.25">
      <c r="Y57" s="80">
        <v>59.416666666666664</v>
      </c>
      <c r="Z57" s="80">
        <v>0.72399999999999998</v>
      </c>
      <c r="AK57" s="80">
        <v>0.72399999999999998</v>
      </c>
    </row>
    <row r="58" spans="25:37" x14ac:dyDescent="0.25">
      <c r="Y58" s="80">
        <v>59.5</v>
      </c>
      <c r="Z58" s="80">
        <v>0.72699999999999998</v>
      </c>
      <c r="AK58" s="80">
        <v>0.72699999999999998</v>
      </c>
    </row>
    <row r="59" spans="25:37" x14ac:dyDescent="0.25">
      <c r="Y59" s="80">
        <v>59.583333333333336</v>
      </c>
      <c r="Z59" s="80">
        <v>0.73</v>
      </c>
      <c r="AK59" s="80">
        <v>0.73</v>
      </c>
    </row>
    <row r="60" spans="25:37" x14ac:dyDescent="0.25">
      <c r="Y60" s="80">
        <v>59.666666666666664</v>
      </c>
      <c r="Z60" s="80">
        <v>0.73199999999999998</v>
      </c>
      <c r="AK60" s="80">
        <v>0.73199999999999998</v>
      </c>
    </row>
    <row r="61" spans="25:37" x14ac:dyDescent="0.25">
      <c r="Y61" s="80">
        <v>59.75</v>
      </c>
      <c r="Z61" s="80">
        <v>0.73499999999999999</v>
      </c>
      <c r="AK61" s="80">
        <v>0.73499999999999999</v>
      </c>
    </row>
    <row r="62" spans="25:37" x14ac:dyDescent="0.25">
      <c r="Y62" s="80">
        <v>59.833333333333336</v>
      </c>
      <c r="Z62" s="80">
        <v>0.73799999999999999</v>
      </c>
      <c r="AK62" s="80">
        <v>0.73799999999999999</v>
      </c>
    </row>
    <row r="63" spans="25:37" x14ac:dyDescent="0.25">
      <c r="Y63" s="80">
        <v>59.916666666666664</v>
      </c>
      <c r="Z63" s="80">
        <v>0.74</v>
      </c>
      <c r="AK63" s="80">
        <v>0.74</v>
      </c>
    </row>
    <row r="64" spans="25:37" x14ac:dyDescent="0.25">
      <c r="Y64" s="80">
        <v>60</v>
      </c>
      <c r="Z64" s="80">
        <v>0.74299999999999999</v>
      </c>
      <c r="AK64" s="80">
        <v>0.74299999999999999</v>
      </c>
    </row>
    <row r="65" spans="25:37" x14ac:dyDescent="0.25">
      <c r="Y65" s="80">
        <v>60.083333333333336</v>
      </c>
      <c r="Z65" s="80">
        <v>0.746</v>
      </c>
      <c r="AK65" s="80">
        <v>0.746</v>
      </c>
    </row>
    <row r="66" spans="25:37" x14ac:dyDescent="0.25">
      <c r="Y66" s="80">
        <v>60.166666666666664</v>
      </c>
      <c r="Z66" s="80">
        <v>0.749</v>
      </c>
      <c r="AK66" s="80">
        <v>0.749</v>
      </c>
    </row>
    <row r="67" spans="25:37" x14ac:dyDescent="0.25">
      <c r="Y67" s="80">
        <v>60.25</v>
      </c>
      <c r="Z67" s="80">
        <v>0.752</v>
      </c>
      <c r="AK67" s="80">
        <v>0.752</v>
      </c>
    </row>
    <row r="68" spans="25:37" x14ac:dyDescent="0.25">
      <c r="Y68" s="80">
        <v>60.333333333333336</v>
      </c>
      <c r="Z68" s="80">
        <v>0.754</v>
      </c>
      <c r="AK68" s="80">
        <v>0.754</v>
      </c>
    </row>
    <row r="69" spans="25:37" x14ac:dyDescent="0.25">
      <c r="Y69" s="80">
        <v>60.416666666666664</v>
      </c>
      <c r="Z69" s="80">
        <v>0.75700000000000001</v>
      </c>
      <c r="AK69" s="80">
        <v>0.75700000000000001</v>
      </c>
    </row>
    <row r="70" spans="25:37" x14ac:dyDescent="0.25">
      <c r="Y70" s="80">
        <v>60.5</v>
      </c>
      <c r="Z70" s="80">
        <v>0.76</v>
      </c>
      <c r="AK70" s="80">
        <v>0.76</v>
      </c>
    </row>
    <row r="71" spans="25:37" x14ac:dyDescent="0.25">
      <c r="Y71" s="80">
        <v>60.583333333333336</v>
      </c>
      <c r="Z71" s="80">
        <v>0.76300000000000001</v>
      </c>
      <c r="AK71" s="80">
        <v>0.76300000000000001</v>
      </c>
    </row>
    <row r="72" spans="25:37" x14ac:dyDescent="0.25">
      <c r="Y72" s="80">
        <v>60.666666666666664</v>
      </c>
      <c r="Z72" s="80">
        <v>0.76600000000000001</v>
      </c>
      <c r="AK72" s="80">
        <v>0.76600000000000001</v>
      </c>
    </row>
    <row r="73" spans="25:37" x14ac:dyDescent="0.25">
      <c r="Y73" s="80">
        <v>60.75</v>
      </c>
      <c r="Z73" s="80">
        <v>0.76900000000000002</v>
      </c>
      <c r="AK73" s="80">
        <v>0.76900000000000002</v>
      </c>
    </row>
    <row r="74" spans="25:37" x14ac:dyDescent="0.25">
      <c r="Y74" s="80">
        <v>60.833333333333336</v>
      </c>
      <c r="Z74" s="80">
        <v>0.77200000000000002</v>
      </c>
      <c r="AK74" s="80">
        <v>0.77200000000000002</v>
      </c>
    </row>
    <row r="75" spans="25:37" x14ac:dyDescent="0.25">
      <c r="Y75" s="80">
        <v>60.916666666666664</v>
      </c>
      <c r="Z75" s="80">
        <v>0.77500000000000002</v>
      </c>
      <c r="AK75" s="80">
        <v>0.77500000000000002</v>
      </c>
    </row>
    <row r="76" spans="25:37" x14ac:dyDescent="0.25">
      <c r="Y76" s="80">
        <v>61</v>
      </c>
      <c r="Z76" s="80">
        <v>0.77700000000000002</v>
      </c>
      <c r="AK76" s="80">
        <v>0.77700000000000002</v>
      </c>
    </row>
    <row r="77" spans="25:37" x14ac:dyDescent="0.25">
      <c r="Y77" s="80">
        <v>61.083333333333336</v>
      </c>
      <c r="Z77" s="80">
        <v>0.78100000000000003</v>
      </c>
      <c r="AK77" s="80">
        <v>0.78100000000000003</v>
      </c>
    </row>
    <row r="78" spans="25:37" x14ac:dyDescent="0.25">
      <c r="Y78" s="80">
        <v>61.166666666666664</v>
      </c>
      <c r="Z78" s="80">
        <v>0.78400000000000003</v>
      </c>
      <c r="AK78" s="80">
        <v>0.78400000000000003</v>
      </c>
    </row>
    <row r="79" spans="25:37" x14ac:dyDescent="0.25">
      <c r="Y79" s="80">
        <v>61.25</v>
      </c>
      <c r="Z79" s="80">
        <v>0.78700000000000003</v>
      </c>
      <c r="AK79" s="80">
        <v>0.78700000000000003</v>
      </c>
    </row>
    <row r="80" spans="25:37" x14ac:dyDescent="0.25">
      <c r="Y80" s="80">
        <v>61.333333333333336</v>
      </c>
      <c r="Z80" s="80">
        <v>0.79</v>
      </c>
      <c r="AK80" s="80">
        <v>0.79</v>
      </c>
    </row>
    <row r="81" spans="25:37" x14ac:dyDescent="0.25">
      <c r="Y81" s="80">
        <v>61.416666666666664</v>
      </c>
      <c r="Z81" s="80">
        <v>0.79300000000000004</v>
      </c>
      <c r="AK81" s="80">
        <v>0.79300000000000004</v>
      </c>
    </row>
    <row r="82" spans="25:37" x14ac:dyDescent="0.25">
      <c r="Y82" s="80">
        <v>61.5</v>
      </c>
      <c r="Z82" s="80">
        <v>0.79600000000000004</v>
      </c>
      <c r="AK82" s="80">
        <v>0.79600000000000004</v>
      </c>
    </row>
    <row r="83" spans="25:37" x14ac:dyDescent="0.25">
      <c r="Y83" s="80">
        <v>61.583333333333336</v>
      </c>
      <c r="Z83" s="80">
        <v>0.79900000000000004</v>
      </c>
      <c r="AK83" s="80">
        <v>0.79900000000000004</v>
      </c>
    </row>
    <row r="84" spans="25:37" x14ac:dyDescent="0.25">
      <c r="Y84" s="80">
        <v>61.666666666666664</v>
      </c>
      <c r="Z84" s="80">
        <v>0.80200000000000005</v>
      </c>
      <c r="AK84" s="80">
        <v>0.80200000000000005</v>
      </c>
    </row>
    <row r="85" spans="25:37" x14ac:dyDescent="0.25">
      <c r="Y85" s="80">
        <v>61.75</v>
      </c>
      <c r="Z85" s="80">
        <v>0.80600000000000005</v>
      </c>
      <c r="AK85" s="80">
        <v>0.80600000000000005</v>
      </c>
    </row>
    <row r="86" spans="25:37" x14ac:dyDescent="0.25">
      <c r="Y86" s="80">
        <v>61.833333333333336</v>
      </c>
      <c r="Z86" s="80">
        <v>0.80900000000000005</v>
      </c>
      <c r="AK86" s="80">
        <v>0.80900000000000005</v>
      </c>
    </row>
    <row r="87" spans="25:37" x14ac:dyDescent="0.25">
      <c r="Y87" s="80">
        <v>61.916666666666664</v>
      </c>
      <c r="Z87" s="80">
        <v>0.81200000000000006</v>
      </c>
      <c r="AK87" s="80">
        <v>0.81200000000000006</v>
      </c>
    </row>
    <row r="88" spans="25:37" x14ac:dyDescent="0.25">
      <c r="Y88" s="80">
        <v>62</v>
      </c>
      <c r="Z88" s="80">
        <v>0.81499999999999995</v>
      </c>
      <c r="AK88" s="80">
        <v>0.81499999999999995</v>
      </c>
    </row>
    <row r="89" spans="25:37" x14ac:dyDescent="0.25">
      <c r="Y89" s="80">
        <v>62.083333333333336</v>
      </c>
      <c r="Z89" s="80">
        <v>0.81799999999999995</v>
      </c>
      <c r="AK89" s="80">
        <v>0.81799999999999995</v>
      </c>
    </row>
    <row r="90" spans="25:37" x14ac:dyDescent="0.25">
      <c r="Y90" s="80">
        <v>62.166666666666664</v>
      </c>
      <c r="Z90" s="80">
        <v>0.82199999999999995</v>
      </c>
      <c r="AK90" s="80">
        <v>0.82199999999999995</v>
      </c>
    </row>
    <row r="91" spans="25:37" x14ac:dyDescent="0.25">
      <c r="Y91" s="80">
        <v>62.25</v>
      </c>
      <c r="Z91" s="80">
        <v>0.82499999999999996</v>
      </c>
      <c r="AK91" s="80">
        <v>0.82499999999999996</v>
      </c>
    </row>
    <row r="92" spans="25:37" x14ac:dyDescent="0.25">
      <c r="Y92" s="80">
        <v>62.333333333333336</v>
      </c>
      <c r="Z92" s="80">
        <v>0.82799999999999996</v>
      </c>
      <c r="AK92" s="80">
        <v>0.82799999999999996</v>
      </c>
    </row>
    <row r="93" spans="25:37" x14ac:dyDescent="0.25">
      <c r="Y93" s="80">
        <v>62.416666666666664</v>
      </c>
      <c r="Z93" s="80">
        <v>0.83199999999999996</v>
      </c>
      <c r="AK93" s="80">
        <v>0.83199999999999996</v>
      </c>
    </row>
    <row r="94" spans="25:37" x14ac:dyDescent="0.25">
      <c r="Y94" s="80">
        <v>62.5</v>
      </c>
      <c r="Z94" s="80">
        <v>0.83499999999999996</v>
      </c>
      <c r="AK94" s="80">
        <v>0.83499999999999996</v>
      </c>
    </row>
    <row r="95" spans="25:37" x14ac:dyDescent="0.25">
      <c r="Y95" s="80">
        <v>62.583333333333336</v>
      </c>
      <c r="Z95" s="80">
        <v>0.83899999999999997</v>
      </c>
      <c r="AK95" s="80">
        <v>0.83899999999999997</v>
      </c>
    </row>
    <row r="96" spans="25:37" x14ac:dyDescent="0.25">
      <c r="Y96" s="80">
        <v>62.666666666666664</v>
      </c>
      <c r="Z96" s="80">
        <v>0.84199999999999997</v>
      </c>
      <c r="AK96" s="80">
        <v>0.84199999999999997</v>
      </c>
    </row>
    <row r="97" spans="25:37" x14ac:dyDescent="0.25">
      <c r="Y97" s="80">
        <v>62.75</v>
      </c>
      <c r="Z97" s="80">
        <v>0.84499999999999997</v>
      </c>
      <c r="AK97" s="80">
        <v>0.84499999999999997</v>
      </c>
    </row>
    <row r="98" spans="25:37" x14ac:dyDescent="0.25">
      <c r="Y98" s="80">
        <v>62.833333333333336</v>
      </c>
      <c r="Z98" s="80">
        <v>0.84899999999999998</v>
      </c>
      <c r="AK98" s="80">
        <v>0.84899999999999998</v>
      </c>
    </row>
    <row r="99" spans="25:37" x14ac:dyDescent="0.25">
      <c r="Y99" s="80">
        <v>62.916666666666664</v>
      </c>
      <c r="Z99" s="80">
        <v>0.85199999999999998</v>
      </c>
      <c r="AK99" s="80">
        <v>0.85199999999999998</v>
      </c>
    </row>
    <row r="100" spans="25:37" x14ac:dyDescent="0.25">
      <c r="Y100" s="80">
        <v>63</v>
      </c>
      <c r="Z100" s="80">
        <v>0.85499999999999998</v>
      </c>
      <c r="AK100" s="80">
        <v>0.85499999999999998</v>
      </c>
    </row>
    <row r="101" spans="25:37" x14ac:dyDescent="0.25">
      <c r="Y101" s="80">
        <v>63.083333333333336</v>
      </c>
      <c r="Z101" s="80">
        <v>0.85899999999999999</v>
      </c>
      <c r="AK101" s="80">
        <v>0.85899999999999999</v>
      </c>
    </row>
    <row r="102" spans="25:37" x14ac:dyDescent="0.25">
      <c r="Y102" s="80">
        <v>63.166666666666664</v>
      </c>
      <c r="Z102" s="80">
        <v>0.86299999999999999</v>
      </c>
      <c r="AK102" s="80">
        <v>0.86299999999999999</v>
      </c>
    </row>
    <row r="103" spans="25:37" x14ac:dyDescent="0.25">
      <c r="Y103" s="80">
        <v>63.25</v>
      </c>
      <c r="Z103" s="80">
        <v>0.86599999999999999</v>
      </c>
      <c r="AK103" s="80">
        <v>0.86599999999999999</v>
      </c>
    </row>
    <row r="104" spans="25:37" x14ac:dyDescent="0.25">
      <c r="Y104" s="80">
        <v>63.333333333333336</v>
      </c>
      <c r="Z104" s="80">
        <v>0.87</v>
      </c>
      <c r="AK104" s="80">
        <v>0.87</v>
      </c>
    </row>
    <row r="105" spans="25:37" x14ac:dyDescent="0.25">
      <c r="Y105" s="80">
        <v>63.416666666666664</v>
      </c>
      <c r="Z105" s="80">
        <v>0.874</v>
      </c>
      <c r="AK105" s="80">
        <v>0.874</v>
      </c>
    </row>
    <row r="106" spans="25:37" x14ac:dyDescent="0.25">
      <c r="Y106" s="80">
        <v>63.5</v>
      </c>
      <c r="Z106" s="80">
        <v>0.877</v>
      </c>
      <c r="AK106" s="80">
        <v>0.877</v>
      </c>
    </row>
    <row r="107" spans="25:37" x14ac:dyDescent="0.25">
      <c r="Y107" s="80">
        <v>63.583333333333336</v>
      </c>
      <c r="Z107" s="80">
        <v>0.88100000000000001</v>
      </c>
      <c r="AK107" s="80">
        <v>0.88100000000000001</v>
      </c>
    </row>
    <row r="108" spans="25:37" x14ac:dyDescent="0.25">
      <c r="Y108" s="80">
        <v>63.666666666666664</v>
      </c>
      <c r="Z108" s="80">
        <v>0.88500000000000001</v>
      </c>
      <c r="AK108" s="80">
        <v>0.88500000000000001</v>
      </c>
    </row>
    <row r="109" spans="25:37" x14ac:dyDescent="0.25">
      <c r="Y109" s="80">
        <v>63.75</v>
      </c>
      <c r="Z109" s="80">
        <v>0.88800000000000001</v>
      </c>
      <c r="AK109" s="80">
        <v>0.88800000000000001</v>
      </c>
    </row>
    <row r="110" spans="25:37" x14ac:dyDescent="0.25">
      <c r="Y110" s="80">
        <v>63.833333333333336</v>
      </c>
      <c r="Z110" s="80">
        <v>0.89200000000000002</v>
      </c>
      <c r="AK110" s="80">
        <v>0.89200000000000002</v>
      </c>
    </row>
    <row r="111" spans="25:37" x14ac:dyDescent="0.25">
      <c r="Y111" s="80">
        <v>63.916666666666664</v>
      </c>
      <c r="Z111" s="80">
        <v>0.89600000000000002</v>
      </c>
      <c r="AK111" s="80">
        <v>0.89600000000000002</v>
      </c>
    </row>
    <row r="112" spans="25:37" x14ac:dyDescent="0.25">
      <c r="Y112" s="80">
        <v>64</v>
      </c>
      <c r="Z112" s="80">
        <v>0.89900000000000002</v>
      </c>
      <c r="AK112" s="80">
        <v>0.89900000000000002</v>
      </c>
    </row>
    <row r="113" spans="25:37" x14ac:dyDescent="0.25">
      <c r="Y113" s="80">
        <v>64.083333333333329</v>
      </c>
      <c r="Z113" s="80">
        <v>0.90300000000000002</v>
      </c>
      <c r="AK113" s="80">
        <v>0.90300000000000002</v>
      </c>
    </row>
    <row r="114" spans="25:37" x14ac:dyDescent="0.25">
      <c r="Y114" s="80">
        <v>64.166666666666671</v>
      </c>
      <c r="Z114" s="80">
        <v>0.90700000000000003</v>
      </c>
      <c r="AK114" s="80">
        <v>0.90700000000000003</v>
      </c>
    </row>
    <row r="115" spans="25:37" x14ac:dyDescent="0.25">
      <c r="Y115" s="80">
        <v>64.25</v>
      </c>
      <c r="Z115" s="80">
        <v>0.91100000000000003</v>
      </c>
      <c r="AK115" s="80">
        <v>0.91100000000000003</v>
      </c>
    </row>
    <row r="116" spans="25:37" x14ac:dyDescent="0.25">
      <c r="Y116" s="80">
        <v>64.333333333333329</v>
      </c>
      <c r="Z116" s="80">
        <v>0.91500000000000004</v>
      </c>
      <c r="AK116" s="80">
        <v>0.91500000000000004</v>
      </c>
    </row>
    <row r="117" spans="25:37" x14ac:dyDescent="0.25">
      <c r="Y117" s="80">
        <v>64.416666666666671</v>
      </c>
      <c r="Z117" s="80">
        <v>0.91900000000000004</v>
      </c>
      <c r="AK117" s="80">
        <v>0.91900000000000004</v>
      </c>
    </row>
    <row r="118" spans="25:37" x14ac:dyDescent="0.25">
      <c r="Y118" s="80">
        <v>64.5</v>
      </c>
      <c r="Z118" s="80">
        <v>0.92300000000000004</v>
      </c>
      <c r="AK118" s="80">
        <v>0.92300000000000004</v>
      </c>
    </row>
    <row r="119" spans="25:37" x14ac:dyDescent="0.25">
      <c r="Y119" s="80">
        <v>64.583333333333329</v>
      </c>
      <c r="Z119" s="80">
        <v>0.92700000000000005</v>
      </c>
      <c r="AK119" s="80">
        <v>0.92700000000000005</v>
      </c>
    </row>
    <row r="120" spans="25:37" x14ac:dyDescent="0.25">
      <c r="Y120" s="80">
        <v>64.666666666666671</v>
      </c>
      <c r="Z120" s="80">
        <v>0.93100000000000005</v>
      </c>
      <c r="AK120" s="80">
        <v>0.93100000000000005</v>
      </c>
    </row>
    <row r="121" spans="25:37" x14ac:dyDescent="0.25">
      <c r="Y121" s="80">
        <v>64.75</v>
      </c>
      <c r="Z121" s="80">
        <v>0.93500000000000005</v>
      </c>
      <c r="AK121" s="80">
        <v>0.93500000000000005</v>
      </c>
    </row>
    <row r="122" spans="25:37" x14ac:dyDescent="0.25">
      <c r="Y122" s="80">
        <v>64.833333333333329</v>
      </c>
      <c r="Z122" s="80">
        <v>0.93899999999999995</v>
      </c>
      <c r="AK122" s="80">
        <v>0.93899999999999995</v>
      </c>
    </row>
    <row r="123" spans="25:37" x14ac:dyDescent="0.25">
      <c r="Y123" s="80">
        <v>64.916666666666671</v>
      </c>
      <c r="Z123" s="80">
        <v>0.94399999999999995</v>
      </c>
      <c r="AK123" s="80">
        <v>0.94399999999999995</v>
      </c>
    </row>
    <row r="124" spans="25:37" x14ac:dyDescent="0.25">
      <c r="Y124" s="80">
        <v>65</v>
      </c>
      <c r="Z124" s="80">
        <v>0.94799999999999995</v>
      </c>
      <c r="AK124" s="80">
        <v>0.94799999999999995</v>
      </c>
    </row>
    <row r="125" spans="25:37" x14ac:dyDescent="0.25">
      <c r="Y125" s="80">
        <v>65.0833333333333</v>
      </c>
      <c r="Z125" s="80">
        <v>0.95199999999999996</v>
      </c>
      <c r="AK125" s="80">
        <v>0.95199999999999996</v>
      </c>
    </row>
    <row r="126" spans="25:37" x14ac:dyDescent="0.25">
      <c r="Y126" s="80">
        <v>65.166666666666671</v>
      </c>
      <c r="Z126" s="80">
        <v>0.95599999999999996</v>
      </c>
      <c r="AK126" s="80">
        <v>0.95599999999999996</v>
      </c>
    </row>
    <row r="127" spans="25:37" x14ac:dyDescent="0.25">
      <c r="Y127" s="80">
        <v>65.25</v>
      </c>
      <c r="Z127" s="80">
        <v>0.96099999999999997</v>
      </c>
      <c r="AK127" s="80">
        <v>0.96099999999999997</v>
      </c>
    </row>
    <row r="128" spans="25:37" x14ac:dyDescent="0.25">
      <c r="Y128" s="80">
        <v>65.3333333333333</v>
      </c>
      <c r="Z128" s="80">
        <v>0.96499999999999997</v>
      </c>
      <c r="AK128" s="80">
        <v>0.96499999999999997</v>
      </c>
    </row>
    <row r="129" spans="25:37" x14ac:dyDescent="0.25">
      <c r="Y129" s="80">
        <v>65.4166666666667</v>
      </c>
      <c r="Z129" s="80">
        <v>0.96899999999999997</v>
      </c>
      <c r="AK129" s="80">
        <v>0.96899999999999997</v>
      </c>
    </row>
    <row r="130" spans="25:37" x14ac:dyDescent="0.25">
      <c r="Y130" s="80">
        <v>65.5</v>
      </c>
      <c r="Z130" s="80">
        <v>0.97399999999999998</v>
      </c>
      <c r="AK130" s="80">
        <v>0.97399999999999998</v>
      </c>
    </row>
    <row r="131" spans="25:37" x14ac:dyDescent="0.25">
      <c r="Y131" s="80">
        <v>65.5833333333333</v>
      </c>
      <c r="Z131" s="80">
        <v>0.97799999999999998</v>
      </c>
      <c r="AK131" s="80">
        <v>0.97799999999999998</v>
      </c>
    </row>
    <row r="132" spans="25:37" x14ac:dyDescent="0.25">
      <c r="Y132" s="80">
        <v>65.6666666666667</v>
      </c>
      <c r="Z132" s="80">
        <v>0.98299999999999998</v>
      </c>
      <c r="AK132" s="80">
        <v>0.98299999999999998</v>
      </c>
    </row>
    <row r="133" spans="25:37" x14ac:dyDescent="0.25">
      <c r="Y133" s="80">
        <v>65.75</v>
      </c>
      <c r="Z133" s="80">
        <v>0.98699999999999999</v>
      </c>
      <c r="AK133" s="80">
        <v>0.98699999999999999</v>
      </c>
    </row>
    <row r="134" spans="25:37" x14ac:dyDescent="0.25">
      <c r="Y134" s="80">
        <v>65.8333333333333</v>
      </c>
      <c r="Z134" s="80">
        <v>0.99099999999999999</v>
      </c>
      <c r="AK134" s="80">
        <v>0.99099999999999999</v>
      </c>
    </row>
    <row r="135" spans="25:37" x14ac:dyDescent="0.25">
      <c r="Y135" s="80">
        <v>65.916666666666671</v>
      </c>
      <c r="Z135" s="80">
        <v>0.996</v>
      </c>
      <c r="AK135" s="80">
        <v>0.996</v>
      </c>
    </row>
    <row r="136" spans="25:37" x14ac:dyDescent="0.25">
      <c r="Y136" s="80">
        <v>66</v>
      </c>
      <c r="Z136" s="80">
        <v>1</v>
      </c>
      <c r="AK136" s="80">
        <v>1</v>
      </c>
    </row>
    <row r="137" spans="25:37" x14ac:dyDescent="0.25">
      <c r="Y137" s="80">
        <v>66.0833333333333</v>
      </c>
      <c r="Z137" s="64">
        <v>1</v>
      </c>
    </row>
    <row r="138" spans="25:37" x14ac:dyDescent="0.25">
      <c r="Y138" s="80">
        <v>66.1666666666667</v>
      </c>
      <c r="Z138" s="64">
        <v>1</v>
      </c>
    </row>
    <row r="139" spans="25:37" x14ac:dyDescent="0.25">
      <c r="Y139" s="80">
        <v>66.25</v>
      </c>
      <c r="Z139" s="64">
        <v>1</v>
      </c>
    </row>
    <row r="140" spans="25:37" x14ac:dyDescent="0.25">
      <c r="Y140" s="80">
        <v>66.3333333333333</v>
      </c>
      <c r="Z140" s="64">
        <v>1</v>
      </c>
    </row>
    <row r="141" spans="25:37" x14ac:dyDescent="0.25">
      <c r="Y141" s="80">
        <v>66.4166666666667</v>
      </c>
      <c r="Z141" s="64">
        <v>1</v>
      </c>
    </row>
    <row r="142" spans="25:37" x14ac:dyDescent="0.25">
      <c r="Y142" s="80">
        <v>66.5</v>
      </c>
      <c r="Z142" s="64">
        <v>1</v>
      </c>
    </row>
    <row r="143" spans="25:37" x14ac:dyDescent="0.25">
      <c r="Y143" s="80">
        <v>66.5833333333333</v>
      </c>
      <c r="Z143" s="64">
        <v>1</v>
      </c>
    </row>
    <row r="144" spans="25:37" x14ac:dyDescent="0.25">
      <c r="Y144" s="80">
        <v>66.6666666666667</v>
      </c>
      <c r="Z144" s="64">
        <v>1</v>
      </c>
    </row>
    <row r="145" spans="25:28" x14ac:dyDescent="0.25">
      <c r="Y145" s="80">
        <v>66.75</v>
      </c>
      <c r="Z145" s="64">
        <v>1</v>
      </c>
      <c r="AB145" s="68"/>
    </row>
    <row r="146" spans="25:28" x14ac:dyDescent="0.25">
      <c r="Y146" s="80">
        <v>66.8333333333333</v>
      </c>
      <c r="Z146" s="64">
        <v>1</v>
      </c>
      <c r="AB146" s="68"/>
    </row>
    <row r="147" spans="25:28" x14ac:dyDescent="0.25">
      <c r="Y147" s="80">
        <v>66.9166666666667</v>
      </c>
      <c r="Z147" s="64">
        <v>1</v>
      </c>
      <c r="AB147" s="68"/>
    </row>
    <row r="148" spans="25:28" x14ac:dyDescent="0.25">
      <c r="Y148" s="80">
        <v>67</v>
      </c>
      <c r="Z148" s="64">
        <v>1</v>
      </c>
      <c r="AB148" s="68"/>
    </row>
    <row r="149" spans="25:28" x14ac:dyDescent="0.25">
      <c r="Y149" s="80">
        <v>67.0833333333333</v>
      </c>
      <c r="Z149" s="64">
        <v>1</v>
      </c>
      <c r="AB149" s="68"/>
    </row>
    <row r="150" spans="25:28" x14ac:dyDescent="0.25">
      <c r="Y150" s="80">
        <v>67.167676767676696</v>
      </c>
      <c r="Z150" s="64">
        <v>1</v>
      </c>
      <c r="AB150" s="68"/>
    </row>
    <row r="151" spans="25:28" x14ac:dyDescent="0.25">
      <c r="Y151" s="80">
        <v>67.25</v>
      </c>
      <c r="Z151" s="64">
        <v>1</v>
      </c>
      <c r="AB151" s="68"/>
    </row>
    <row r="152" spans="25:28" x14ac:dyDescent="0.25">
      <c r="Y152" s="80">
        <v>67.3333333333333</v>
      </c>
      <c r="Z152" s="64">
        <v>1</v>
      </c>
      <c r="AB152" s="68"/>
    </row>
    <row r="153" spans="25:28" x14ac:dyDescent="0.25">
      <c r="Y153" s="80">
        <v>67.416767676767705</v>
      </c>
      <c r="Z153" s="64">
        <v>1</v>
      </c>
      <c r="AB153" s="68"/>
    </row>
    <row r="154" spans="25:28" x14ac:dyDescent="0.25">
      <c r="Y154" s="80">
        <v>67.5</v>
      </c>
      <c r="Z154" s="64">
        <v>1</v>
      </c>
      <c r="AB154" s="68"/>
    </row>
    <row r="155" spans="25:28" x14ac:dyDescent="0.25">
      <c r="Y155" s="80">
        <v>67.5833333333333</v>
      </c>
      <c r="Z155" s="64">
        <v>1</v>
      </c>
      <c r="AB155" s="68"/>
    </row>
    <row r="156" spans="25:28" x14ac:dyDescent="0.25">
      <c r="Y156" s="80">
        <v>67.676767676767696</v>
      </c>
      <c r="Z156" s="64">
        <v>1</v>
      </c>
      <c r="AB156" s="68"/>
    </row>
    <row r="157" spans="25:28" x14ac:dyDescent="0.25">
      <c r="Y157" s="80">
        <v>67.75</v>
      </c>
      <c r="Z157" s="64">
        <v>1</v>
      </c>
    </row>
    <row r="158" spans="25:28" x14ac:dyDescent="0.25">
      <c r="Y158" s="80">
        <v>67.8333333333333</v>
      </c>
      <c r="Z158" s="64">
        <v>1</v>
      </c>
    </row>
    <row r="159" spans="25:28" x14ac:dyDescent="0.25">
      <c r="Y159" s="80">
        <v>67.916767676767705</v>
      </c>
      <c r="Z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3"/>
  <sheetViews>
    <sheetView topLeftCell="A16" workbookViewId="0">
      <selection activeCell="G26" sqref="G26"/>
    </sheetView>
  </sheetViews>
  <sheetFormatPr defaultRowHeight="15" x14ac:dyDescent="0.25"/>
  <cols>
    <col min="1" max="1" width="9.140625" style="31" customWidth="1"/>
    <col min="2" max="5" width="9.140625" style="31"/>
    <col min="6" max="6" width="23" style="31" customWidth="1"/>
    <col min="7" max="7" width="56" style="31" customWidth="1"/>
    <col min="8" max="8" width="3.5703125" style="31" customWidth="1"/>
    <col min="9" max="9" width="1.42578125" style="31" hidden="1" customWidth="1"/>
    <col min="10" max="10" width="9.140625" style="31" hidden="1" customWidth="1"/>
    <col min="11" max="11" width="22.28515625" style="31" customWidth="1"/>
    <col min="12" max="16" width="9.140625" style="31"/>
    <col min="17" max="17" width="17.140625" style="31" customWidth="1"/>
    <col min="18" max="18" width="9.140625" style="31"/>
    <col min="19" max="19" width="11.42578125" style="31" customWidth="1"/>
    <col min="20" max="22" width="9.140625" style="31"/>
    <col min="23" max="45" width="9.140625" style="17"/>
    <col min="46" max="16384" width="9.140625" style="31"/>
  </cols>
  <sheetData>
    <row r="1" spans="1:22" ht="27" thickTop="1" x14ac:dyDescent="0.4">
      <c r="A1" s="99" t="s">
        <v>74</v>
      </c>
      <c r="B1" s="100"/>
      <c r="C1" s="100"/>
      <c r="D1" s="100"/>
      <c r="E1" s="100"/>
      <c r="F1" s="144"/>
      <c r="G1" s="144"/>
      <c r="H1" s="145"/>
      <c r="I1" s="145"/>
      <c r="J1" s="145"/>
      <c r="K1" s="145"/>
      <c r="L1" s="145"/>
      <c r="M1" s="146"/>
      <c r="N1" s="101"/>
      <c r="O1" s="101"/>
      <c r="P1" s="101"/>
      <c r="Q1" s="101"/>
      <c r="R1" s="101"/>
      <c r="S1" s="102"/>
      <c r="T1" s="17"/>
      <c r="U1" s="17"/>
      <c r="V1" s="17"/>
    </row>
    <row r="2" spans="1:22" ht="20.25" customHeight="1" x14ac:dyDescent="0.4">
      <c r="A2" s="103"/>
      <c r="B2" s="95"/>
      <c r="C2" s="95"/>
      <c r="D2" s="95"/>
      <c r="E2" s="95"/>
      <c r="F2" s="95"/>
      <c r="G2" s="95"/>
      <c r="H2" s="95"/>
      <c r="I2" s="95"/>
      <c r="J2" s="95"/>
      <c r="K2" s="95"/>
      <c r="L2" s="95"/>
      <c r="M2" s="13"/>
      <c r="N2" s="13"/>
      <c r="O2" s="13"/>
      <c r="P2" s="13"/>
      <c r="Q2" s="13"/>
      <c r="R2" s="13"/>
      <c r="S2" s="104"/>
      <c r="T2" s="17"/>
      <c r="U2" s="17"/>
      <c r="V2" s="17"/>
    </row>
    <row r="3" spans="1:22" ht="15" customHeight="1" x14ac:dyDescent="0.3">
      <c r="A3" s="105" t="s">
        <v>62</v>
      </c>
      <c r="B3" s="96"/>
      <c r="C3" s="96"/>
      <c r="D3" s="96"/>
      <c r="E3" s="96"/>
      <c r="F3" s="96"/>
      <c r="G3" s="96"/>
      <c r="H3" s="97"/>
      <c r="I3" s="97"/>
      <c r="J3" s="97"/>
      <c r="K3" s="97"/>
      <c r="L3" s="97"/>
      <c r="M3" s="97"/>
      <c r="N3" s="97"/>
      <c r="O3" s="13"/>
      <c r="P3" s="13"/>
      <c r="Q3" s="13"/>
      <c r="R3" s="13"/>
      <c r="S3" s="104"/>
      <c r="T3" s="17"/>
      <c r="U3" s="17"/>
      <c r="V3" s="17"/>
    </row>
    <row r="4" spans="1:22" ht="27" customHeight="1" x14ac:dyDescent="0.3">
      <c r="A4" s="105" t="s">
        <v>63</v>
      </c>
      <c r="B4" s="96"/>
      <c r="C4" s="96"/>
      <c r="D4" s="96"/>
      <c r="E4" s="96"/>
      <c r="F4" s="96"/>
      <c r="G4" s="96"/>
      <c r="H4" s="97"/>
      <c r="I4" s="97"/>
      <c r="J4" s="97"/>
      <c r="K4" s="97"/>
      <c r="L4" s="97"/>
      <c r="M4" s="97"/>
      <c r="N4" s="97"/>
      <c r="O4" s="13"/>
      <c r="P4" s="13"/>
      <c r="Q4" s="13"/>
      <c r="R4" s="13"/>
      <c r="S4" s="104"/>
      <c r="T4" s="17"/>
      <c r="U4" s="17"/>
      <c r="V4" s="17"/>
    </row>
    <row r="5" spans="1:22" ht="27.75" customHeight="1" x14ac:dyDescent="0.3">
      <c r="A5" s="105" t="s">
        <v>64</v>
      </c>
      <c r="B5" s="96"/>
      <c r="C5" s="96"/>
      <c r="D5" s="96"/>
      <c r="E5" s="96"/>
      <c r="F5" s="96"/>
      <c r="G5" s="96"/>
      <c r="H5" s="97"/>
      <c r="I5" s="97"/>
      <c r="J5" s="97"/>
      <c r="K5" s="97"/>
      <c r="L5" s="97"/>
      <c r="M5" s="97"/>
      <c r="N5" s="97"/>
      <c r="O5" s="13"/>
      <c r="P5" s="13"/>
      <c r="Q5" s="13"/>
      <c r="R5" s="13"/>
      <c r="S5" s="104"/>
      <c r="T5" s="17"/>
      <c r="U5" s="17"/>
      <c r="V5" s="17"/>
    </row>
    <row r="6" spans="1:22" ht="15" customHeight="1" x14ac:dyDescent="0.25">
      <c r="A6" s="106"/>
      <c r="B6" s="13"/>
      <c r="C6" s="13"/>
      <c r="D6" s="13"/>
      <c r="E6" s="13"/>
      <c r="F6" s="13"/>
      <c r="G6" s="13"/>
      <c r="H6" s="13"/>
      <c r="I6" s="13"/>
      <c r="J6" s="13"/>
      <c r="K6" s="13"/>
      <c r="L6" s="13"/>
      <c r="M6" s="13"/>
      <c r="N6" s="13"/>
      <c r="O6" s="13"/>
      <c r="P6" s="13"/>
      <c r="Q6" s="13"/>
      <c r="R6" s="13"/>
      <c r="S6" s="104"/>
      <c r="T6" s="17"/>
      <c r="U6" s="17"/>
      <c r="V6" s="17"/>
    </row>
    <row r="7" spans="1:22" ht="15" customHeight="1" x14ac:dyDescent="0.3">
      <c r="A7" s="107" t="s">
        <v>65</v>
      </c>
      <c r="B7" s="13"/>
      <c r="C7" s="13"/>
      <c r="D7" s="13"/>
      <c r="E7" s="13"/>
      <c r="F7" s="13"/>
      <c r="G7" s="13"/>
      <c r="H7" s="13"/>
      <c r="I7" s="13"/>
      <c r="J7" s="13"/>
      <c r="K7" s="13"/>
      <c r="L7" s="13"/>
      <c r="M7" s="13"/>
      <c r="N7" s="13"/>
      <c r="O7" s="13"/>
      <c r="P7" s="13"/>
      <c r="Q7" s="13"/>
      <c r="R7" s="13"/>
      <c r="S7" s="104"/>
      <c r="T7" s="17"/>
      <c r="U7" s="17"/>
      <c r="V7" s="17"/>
    </row>
    <row r="8" spans="1:22" ht="15" customHeight="1" x14ac:dyDescent="0.3">
      <c r="A8" s="108" t="s">
        <v>66</v>
      </c>
      <c r="B8" s="97"/>
      <c r="C8" s="97"/>
      <c r="D8" s="97"/>
      <c r="E8" s="97"/>
      <c r="F8" s="97"/>
      <c r="G8" s="97"/>
      <c r="H8" s="97"/>
      <c r="I8" s="97"/>
      <c r="J8" s="97"/>
      <c r="K8" s="97"/>
      <c r="L8" s="13"/>
      <c r="M8" s="13"/>
      <c r="N8" s="13"/>
      <c r="O8" s="13"/>
      <c r="P8" s="13"/>
      <c r="Q8" s="13"/>
      <c r="R8" s="13"/>
      <c r="S8" s="104"/>
      <c r="T8" s="17"/>
      <c r="U8" s="17"/>
      <c r="V8" s="17"/>
    </row>
    <row r="9" spans="1:22" ht="18.75" x14ac:dyDescent="0.3">
      <c r="A9" s="108" t="s">
        <v>67</v>
      </c>
      <c r="B9" s="97"/>
      <c r="C9" s="97"/>
      <c r="D9" s="97"/>
      <c r="E9" s="97"/>
      <c r="F9" s="97"/>
      <c r="G9" s="97"/>
      <c r="H9" s="97"/>
      <c r="I9" s="97"/>
      <c r="J9" s="97"/>
      <c r="K9" s="97"/>
      <c r="L9" s="13"/>
      <c r="M9" s="13"/>
      <c r="N9" s="13"/>
      <c r="O9" s="13"/>
      <c r="P9" s="13"/>
      <c r="Q9" s="13"/>
      <c r="R9" s="13"/>
      <c r="S9" s="104"/>
      <c r="T9" s="17"/>
      <c r="U9" s="17"/>
      <c r="V9" s="17"/>
    </row>
    <row r="10" spans="1:22" ht="18.75" x14ac:dyDescent="0.3">
      <c r="A10" s="108" t="s">
        <v>72</v>
      </c>
      <c r="B10" s="97"/>
      <c r="C10" s="97"/>
      <c r="D10" s="97"/>
      <c r="E10" s="97"/>
      <c r="F10" s="97"/>
      <c r="G10" s="97"/>
      <c r="H10" s="97"/>
      <c r="I10" s="97"/>
      <c r="J10" s="97"/>
      <c r="K10" s="97"/>
      <c r="L10" s="13"/>
      <c r="M10" s="13"/>
      <c r="N10" s="13"/>
      <c r="O10" s="13"/>
      <c r="P10" s="13"/>
      <c r="Q10" s="13"/>
      <c r="R10" s="13"/>
      <c r="S10" s="104"/>
      <c r="T10" s="17"/>
      <c r="U10" s="17"/>
      <c r="V10" s="17"/>
    </row>
    <row r="11" spans="1:22" ht="18.75" x14ac:dyDescent="0.3">
      <c r="A11" s="108" t="s">
        <v>68</v>
      </c>
      <c r="B11" s="97"/>
      <c r="C11" s="97"/>
      <c r="D11" s="97"/>
      <c r="E11" s="97"/>
      <c r="F11" s="97"/>
      <c r="G11" s="97"/>
      <c r="H11" s="97"/>
      <c r="I11" s="97"/>
      <c r="J11" s="97"/>
      <c r="K11" s="97"/>
      <c r="L11" s="13"/>
      <c r="M11" s="13"/>
      <c r="N11" s="13"/>
      <c r="O11" s="13"/>
      <c r="P11" s="13"/>
      <c r="Q11" s="13"/>
      <c r="R11" s="13"/>
      <c r="S11" s="104"/>
      <c r="T11" s="17"/>
      <c r="U11" s="17"/>
      <c r="V11" s="17"/>
    </row>
    <row r="12" spans="1:22" ht="18.75" x14ac:dyDescent="0.3">
      <c r="A12" s="148" t="s">
        <v>75</v>
      </c>
      <c r="B12" s="17"/>
      <c r="C12" s="17"/>
      <c r="D12" s="17"/>
      <c r="E12" s="17"/>
      <c r="F12" s="17"/>
      <c r="G12" s="17"/>
      <c r="H12" s="17"/>
      <c r="I12" s="17"/>
      <c r="J12" s="17"/>
      <c r="K12" s="17"/>
      <c r="L12" s="17"/>
      <c r="M12" s="17"/>
      <c r="N12" s="17"/>
      <c r="O12" s="17"/>
      <c r="P12" s="17"/>
      <c r="Q12" s="17"/>
      <c r="R12" s="17"/>
      <c r="S12" s="17"/>
      <c r="T12" s="17"/>
      <c r="U12" s="17"/>
      <c r="V12" s="17"/>
    </row>
    <row r="13" spans="1:22" ht="18.75" x14ac:dyDescent="0.3">
      <c r="A13" s="105" t="s">
        <v>69</v>
      </c>
      <c r="B13" s="97"/>
      <c r="C13" s="97"/>
      <c r="D13" s="97"/>
      <c r="E13" s="97"/>
      <c r="F13" s="97"/>
      <c r="G13" s="97"/>
      <c r="H13" s="97"/>
      <c r="I13" s="97"/>
      <c r="J13" s="97"/>
      <c r="K13" s="97"/>
      <c r="L13" s="13"/>
      <c r="M13" s="13"/>
      <c r="N13" s="13"/>
      <c r="O13" s="13"/>
      <c r="P13" s="13"/>
      <c r="Q13" s="13"/>
      <c r="R13" s="13"/>
      <c r="S13" s="104"/>
      <c r="T13" s="17"/>
      <c r="U13" s="17"/>
      <c r="V13" s="17"/>
    </row>
    <row r="14" spans="1:22" ht="18.75" x14ac:dyDescent="0.3">
      <c r="A14" s="105" t="s">
        <v>70</v>
      </c>
      <c r="B14" s="98"/>
      <c r="C14" s="97"/>
      <c r="D14" s="97"/>
      <c r="E14" s="97"/>
      <c r="F14" s="97"/>
      <c r="G14" s="97"/>
      <c r="H14" s="97"/>
      <c r="I14" s="97"/>
      <c r="J14" s="97"/>
      <c r="K14" s="97"/>
      <c r="L14" s="13"/>
      <c r="M14" s="13"/>
      <c r="N14" s="13"/>
      <c r="O14" s="13"/>
      <c r="P14" s="13"/>
      <c r="Q14" s="13"/>
      <c r="R14" s="13"/>
      <c r="S14" s="104"/>
      <c r="T14" s="17"/>
      <c r="U14" s="17"/>
      <c r="V14" s="17"/>
    </row>
    <row r="15" spans="1:22" x14ac:dyDescent="0.25">
      <c r="A15" s="109"/>
      <c r="B15" s="13"/>
      <c r="C15" s="13"/>
      <c r="D15" s="13"/>
      <c r="E15" s="13"/>
      <c r="F15" s="13"/>
      <c r="G15" s="13"/>
      <c r="H15" s="13"/>
      <c r="I15" s="13"/>
      <c r="J15" s="13"/>
      <c r="K15" s="13"/>
      <c r="L15" s="13"/>
      <c r="M15" s="13"/>
      <c r="N15" s="13"/>
      <c r="O15" s="13"/>
      <c r="P15" s="13"/>
      <c r="Q15" s="13"/>
      <c r="R15" s="13"/>
      <c r="S15" s="104"/>
      <c r="T15" s="17"/>
      <c r="U15" s="17"/>
      <c r="V15" s="17"/>
    </row>
    <row r="16" spans="1:22" ht="18.75" x14ac:dyDescent="0.3">
      <c r="A16" s="110" t="s">
        <v>71</v>
      </c>
      <c r="B16" s="13"/>
      <c r="C16" s="13"/>
      <c r="D16" s="13"/>
      <c r="E16" s="13"/>
      <c r="F16" s="13"/>
      <c r="G16" s="13"/>
      <c r="H16" s="13"/>
      <c r="I16" s="13"/>
      <c r="J16" s="13"/>
      <c r="K16" s="13"/>
      <c r="L16" s="13"/>
      <c r="M16" s="13"/>
      <c r="N16" s="13"/>
      <c r="O16" s="13"/>
      <c r="P16" s="13"/>
      <c r="Q16" s="13"/>
      <c r="R16" s="13"/>
      <c r="S16" s="104"/>
      <c r="T16" s="17"/>
      <c r="U16" s="17"/>
      <c r="V16" s="17"/>
    </row>
    <row r="17" spans="1:22" ht="15.75" thickBot="1" x14ac:dyDescent="0.3">
      <c r="A17" s="111"/>
      <c r="B17" s="112"/>
      <c r="C17" s="112"/>
      <c r="D17" s="112"/>
      <c r="E17" s="112"/>
      <c r="F17" s="112"/>
      <c r="G17" s="112"/>
      <c r="H17" s="112"/>
      <c r="I17" s="112"/>
      <c r="J17" s="112"/>
      <c r="K17" s="112"/>
      <c r="L17" s="112"/>
      <c r="M17" s="112"/>
      <c r="N17" s="112"/>
      <c r="O17" s="112"/>
      <c r="P17" s="112"/>
      <c r="Q17" s="112"/>
      <c r="R17" s="112"/>
      <c r="S17" s="113"/>
      <c r="T17" s="17"/>
      <c r="U17" s="17"/>
      <c r="V17" s="17"/>
    </row>
    <row r="18" spans="1:22" ht="27.75" thickTop="1" thickBot="1" x14ac:dyDescent="0.45">
      <c r="A18" s="114"/>
      <c r="B18" s="115"/>
      <c r="C18" s="115"/>
      <c r="D18" s="115"/>
      <c r="E18" s="115"/>
      <c r="F18" s="115"/>
      <c r="G18" s="115"/>
      <c r="H18" s="115"/>
      <c r="I18" s="115"/>
      <c r="J18" s="115"/>
      <c r="K18" s="115"/>
      <c r="L18" s="115"/>
      <c r="M18" s="116"/>
      <c r="N18" s="116"/>
      <c r="O18" s="116"/>
      <c r="P18" s="116"/>
      <c r="Q18" s="116"/>
      <c r="R18" s="116"/>
      <c r="S18" s="117"/>
      <c r="T18" s="17"/>
      <c r="U18" s="17"/>
      <c r="V18" s="17"/>
    </row>
    <row r="19" spans="1:22" ht="27.75" thickTop="1" thickBot="1" x14ac:dyDescent="0.45">
      <c r="A19" s="118"/>
      <c r="B19" s="119" t="s">
        <v>57</v>
      </c>
      <c r="C19" s="119"/>
      <c r="D19" s="119"/>
      <c r="E19" s="119"/>
      <c r="F19" s="119"/>
      <c r="G19" s="120"/>
      <c r="H19" s="121"/>
      <c r="I19" s="121"/>
      <c r="J19" s="121"/>
      <c r="K19" s="142">
        <f>'2008-2015 Calculator Age 66'!M25+1</f>
        <v>1</v>
      </c>
      <c r="L19" s="122"/>
      <c r="M19" s="122"/>
      <c r="N19" s="122"/>
      <c r="O19" s="121"/>
      <c r="P19" s="121"/>
      <c r="Q19" s="121"/>
      <c r="R19" s="121"/>
      <c r="S19" s="123"/>
      <c r="T19" s="17"/>
      <c r="U19" s="17"/>
      <c r="V19" s="17"/>
    </row>
    <row r="20" spans="1:22" ht="27.75" thickTop="1" thickBot="1" x14ac:dyDescent="0.45">
      <c r="A20" s="118"/>
      <c r="B20" s="119"/>
      <c r="C20" s="119"/>
      <c r="D20" s="119"/>
      <c r="E20" s="119"/>
      <c r="F20" s="119"/>
      <c r="G20" s="120"/>
      <c r="H20" s="121"/>
      <c r="I20" s="121"/>
      <c r="J20" s="121"/>
      <c r="K20" s="122"/>
      <c r="L20" s="122"/>
      <c r="M20" s="122"/>
      <c r="N20" s="122"/>
      <c r="O20" s="121"/>
      <c r="P20" s="121"/>
      <c r="Q20" s="121"/>
      <c r="R20" s="121"/>
      <c r="S20" s="123"/>
      <c r="T20" s="17"/>
      <c r="U20" s="17"/>
      <c r="V20" s="17"/>
    </row>
    <row r="21" spans="1:22" ht="27.75" thickTop="1" thickBot="1" x14ac:dyDescent="0.45">
      <c r="A21" s="118"/>
      <c r="B21" s="119" t="s">
        <v>55</v>
      </c>
      <c r="C21" s="119"/>
      <c r="D21" s="119"/>
      <c r="E21" s="119"/>
      <c r="F21" s="119"/>
      <c r="G21" s="120"/>
      <c r="H21" s="121"/>
      <c r="I21" s="121"/>
      <c r="J21" s="121"/>
      <c r="K21" s="143">
        <f>'2008-2015 Calculator Age 66'!M27</f>
        <v>0</v>
      </c>
      <c r="L21" s="119" t="s">
        <v>56</v>
      </c>
      <c r="M21" s="122"/>
      <c r="N21" s="122"/>
      <c r="O21" s="121"/>
      <c r="P21" s="121"/>
      <c r="Q21" s="121"/>
      <c r="R21" s="121"/>
      <c r="S21" s="123"/>
      <c r="T21" s="17"/>
      <c r="U21" s="17"/>
      <c r="V21" s="17"/>
    </row>
    <row r="22" spans="1:22" ht="27.75" thickTop="1" thickBot="1" x14ac:dyDescent="0.45">
      <c r="A22" s="118"/>
      <c r="B22" s="119"/>
      <c r="C22" s="119"/>
      <c r="D22" s="119"/>
      <c r="E22" s="119"/>
      <c r="F22" s="119"/>
      <c r="G22" s="120"/>
      <c r="H22" s="121"/>
      <c r="I22" s="121"/>
      <c r="J22" s="121"/>
      <c r="K22" s="122"/>
      <c r="L22" s="122"/>
      <c r="M22" s="122"/>
      <c r="N22" s="122"/>
      <c r="O22" s="121"/>
      <c r="P22" s="121"/>
      <c r="Q22" s="121"/>
      <c r="R22" s="121"/>
      <c r="S22" s="123"/>
      <c r="T22" s="17"/>
      <c r="U22" s="17"/>
      <c r="V22" s="17"/>
    </row>
    <row r="23" spans="1:22" ht="27.75" thickTop="1" thickBot="1" x14ac:dyDescent="0.45">
      <c r="A23" s="118"/>
      <c r="B23" s="119" t="s">
        <v>58</v>
      </c>
      <c r="C23" s="119"/>
      <c r="D23" s="119"/>
      <c r="E23" s="119"/>
      <c r="F23" s="119"/>
      <c r="G23" s="120"/>
      <c r="H23" s="121"/>
      <c r="I23" s="121"/>
      <c r="J23" s="121"/>
      <c r="K23" s="149" t="e">
        <f>SUM('2015 Pension Calculation'!G20:G72)</f>
        <v>#N/A</v>
      </c>
      <c r="L23" s="119" t="s">
        <v>56</v>
      </c>
      <c r="M23" s="122"/>
      <c r="N23" s="122"/>
      <c r="O23" s="119" t="s">
        <v>73</v>
      </c>
      <c r="P23" s="121"/>
      <c r="Q23" s="147" t="e">
        <f>K23*20/1030000</f>
        <v>#N/A</v>
      </c>
      <c r="R23" s="121"/>
      <c r="S23" s="123"/>
      <c r="T23" s="17"/>
      <c r="U23" s="17"/>
      <c r="V23" s="17"/>
    </row>
    <row r="24" spans="1:22" ht="27.75" thickTop="1" thickBot="1" x14ac:dyDescent="0.45">
      <c r="A24" s="118"/>
      <c r="B24" s="122"/>
      <c r="C24" s="122"/>
      <c r="D24" s="122"/>
      <c r="E24" s="122"/>
      <c r="F24" s="122"/>
      <c r="G24" s="121"/>
      <c r="H24" s="121"/>
      <c r="I24" s="121"/>
      <c r="J24" s="121"/>
      <c r="K24" s="122"/>
      <c r="L24" s="122"/>
      <c r="M24" s="122"/>
      <c r="N24" s="122"/>
      <c r="O24" s="121"/>
      <c r="P24" s="121"/>
      <c r="Q24" s="121"/>
      <c r="R24" s="121"/>
      <c r="S24" s="123"/>
      <c r="T24" s="17"/>
      <c r="U24" s="17"/>
      <c r="V24" s="17"/>
    </row>
    <row r="25" spans="1:22" ht="27" thickTop="1" x14ac:dyDescent="0.4">
      <c r="A25" s="124"/>
      <c r="B25" s="125" t="s">
        <v>50</v>
      </c>
      <c r="C25" s="125"/>
      <c r="D25" s="125"/>
      <c r="E25" s="125"/>
      <c r="F25" s="125"/>
      <c r="G25" s="125"/>
      <c r="H25" s="125"/>
      <c r="I25" s="126"/>
      <c r="J25" s="126"/>
      <c r="K25" s="126"/>
      <c r="L25" s="125"/>
      <c r="M25" s="125"/>
      <c r="N25" s="125"/>
      <c r="O25" s="127"/>
      <c r="P25" s="127"/>
      <c r="Q25" s="127"/>
      <c r="R25" s="127"/>
      <c r="S25" s="128"/>
      <c r="T25" s="17"/>
      <c r="U25" s="17"/>
      <c r="V25" s="17"/>
    </row>
    <row r="26" spans="1:22" ht="26.25" x14ac:dyDescent="0.4">
      <c r="A26" s="129"/>
      <c r="B26" s="130"/>
      <c r="C26" s="130"/>
      <c r="D26" s="130"/>
      <c r="E26" s="130"/>
      <c r="F26" s="130"/>
      <c r="G26" s="131"/>
      <c r="H26" s="131"/>
      <c r="I26" s="131"/>
      <c r="J26" s="131"/>
      <c r="K26" s="130"/>
      <c r="L26" s="130"/>
      <c r="M26" s="130"/>
      <c r="N26" s="130"/>
      <c r="O26" s="132"/>
      <c r="P26" s="132"/>
      <c r="Q26" s="132"/>
      <c r="R26" s="132"/>
      <c r="S26" s="133"/>
      <c r="T26" s="17"/>
      <c r="U26" s="17"/>
      <c r="V26" s="17"/>
    </row>
    <row r="27" spans="1:22" ht="27" thickBot="1" x14ac:dyDescent="0.45">
      <c r="A27" s="129"/>
      <c r="B27" s="130"/>
      <c r="C27" s="130"/>
      <c r="D27" s="130"/>
      <c r="E27" s="130"/>
      <c r="F27" s="130"/>
      <c r="G27" s="131"/>
      <c r="H27" s="131"/>
      <c r="I27" s="131"/>
      <c r="J27" s="131"/>
      <c r="K27" s="130" t="s">
        <v>32</v>
      </c>
      <c r="L27" s="130"/>
      <c r="M27" s="130" t="s">
        <v>33</v>
      </c>
      <c r="N27" s="130"/>
      <c r="O27" s="132"/>
      <c r="P27" s="132"/>
      <c r="Q27" s="132"/>
      <c r="R27" s="132"/>
      <c r="S27" s="133"/>
      <c r="T27" s="17"/>
      <c r="U27" s="17"/>
      <c r="V27" s="17"/>
    </row>
    <row r="28" spans="1:22" ht="27.75" thickTop="1" thickBot="1" x14ac:dyDescent="0.45">
      <c r="A28" s="129"/>
      <c r="B28" s="130" t="s">
        <v>54</v>
      </c>
      <c r="C28" s="130"/>
      <c r="D28" s="130"/>
      <c r="E28" s="130"/>
      <c r="F28" s="130"/>
      <c r="G28" s="132"/>
      <c r="H28" s="132"/>
      <c r="I28" s="132"/>
      <c r="J28" s="132"/>
      <c r="K28" s="142">
        <f>'2008-2015 Calculator Age 66'!M30</f>
        <v>0</v>
      </c>
      <c r="L28" s="134"/>
      <c r="M28" s="142">
        <f>'2008-2015 Calculator Age 66'!N30</f>
        <v>0</v>
      </c>
      <c r="N28" s="134"/>
      <c r="O28" s="132"/>
      <c r="P28" s="132"/>
      <c r="Q28" s="132"/>
      <c r="R28" s="132"/>
      <c r="S28" s="133"/>
      <c r="T28" s="17"/>
      <c r="U28" s="17"/>
      <c r="V28" s="17"/>
    </row>
    <row r="29" spans="1:22" ht="27" thickTop="1" x14ac:dyDescent="0.4">
      <c r="A29" s="129"/>
      <c r="B29" s="134"/>
      <c r="C29" s="134"/>
      <c r="D29" s="134"/>
      <c r="E29" s="134"/>
      <c r="F29" s="134"/>
      <c r="G29" s="132"/>
      <c r="H29" s="132"/>
      <c r="I29" s="132"/>
      <c r="J29" s="132"/>
      <c r="K29" s="134"/>
      <c r="L29" s="134"/>
      <c r="M29" s="134"/>
      <c r="N29" s="134"/>
      <c r="O29" s="132"/>
      <c r="P29" s="132"/>
      <c r="Q29" s="132"/>
      <c r="R29" s="132"/>
      <c r="S29" s="133"/>
      <c r="T29" s="17"/>
      <c r="U29" s="17"/>
      <c r="V29" s="17"/>
    </row>
    <row r="30" spans="1:22" ht="27" thickBot="1" x14ac:dyDescent="0.45">
      <c r="A30" s="129"/>
      <c r="B30" s="132"/>
      <c r="C30" s="132"/>
      <c r="D30" s="132"/>
      <c r="E30" s="132"/>
      <c r="F30" s="132"/>
      <c r="G30" s="132"/>
      <c r="H30" s="132"/>
      <c r="I30" s="132"/>
      <c r="J30" s="132"/>
      <c r="K30" s="132"/>
      <c r="L30" s="132"/>
      <c r="M30" s="134"/>
      <c r="N30" s="134"/>
      <c r="O30" s="132"/>
      <c r="P30" s="132"/>
      <c r="Q30" s="132"/>
      <c r="R30" s="132"/>
      <c r="S30" s="133"/>
      <c r="T30" s="17"/>
      <c r="U30" s="17"/>
      <c r="V30" s="17"/>
    </row>
    <row r="31" spans="1:22" ht="27.75" thickTop="1" thickBot="1" x14ac:dyDescent="0.45">
      <c r="A31" s="129"/>
      <c r="B31" s="130" t="s">
        <v>51</v>
      </c>
      <c r="C31" s="131"/>
      <c r="D31" s="131"/>
      <c r="E31" s="131"/>
      <c r="F31" s="131"/>
      <c r="G31" s="131"/>
      <c r="H31" s="132"/>
      <c r="I31" s="132"/>
      <c r="J31" s="132"/>
      <c r="K31" s="135" t="e">
        <f>'2015 VER Calculator '!J19</f>
        <v>#N/A</v>
      </c>
      <c r="L31" s="130" t="s">
        <v>56</v>
      </c>
      <c r="M31" s="134"/>
      <c r="N31" s="134"/>
      <c r="O31" s="132"/>
      <c r="P31" s="132"/>
      <c r="Q31" s="132"/>
      <c r="R31" s="132"/>
      <c r="S31" s="133"/>
      <c r="T31" s="17"/>
      <c r="U31" s="17"/>
      <c r="V31" s="17"/>
    </row>
    <row r="32" spans="1:22" ht="27.75" thickTop="1" thickBot="1" x14ac:dyDescent="0.45">
      <c r="A32" s="129"/>
      <c r="B32" s="131"/>
      <c r="C32" s="131"/>
      <c r="D32" s="131"/>
      <c r="E32" s="131"/>
      <c r="F32" s="131"/>
      <c r="G32" s="131"/>
      <c r="H32" s="132"/>
      <c r="I32" s="132"/>
      <c r="J32" s="132"/>
      <c r="K32" s="132"/>
      <c r="L32" s="132"/>
      <c r="M32" s="134"/>
      <c r="N32" s="134"/>
      <c r="O32" s="132"/>
      <c r="P32" s="132"/>
      <c r="Q32" s="132"/>
      <c r="R32" s="132"/>
      <c r="S32" s="133"/>
      <c r="T32" s="17"/>
      <c r="U32" s="17"/>
      <c r="V32" s="17"/>
    </row>
    <row r="33" spans="1:22" ht="27.75" thickTop="1" thickBot="1" x14ac:dyDescent="0.45">
      <c r="A33" s="129"/>
      <c r="B33" s="130" t="s">
        <v>53</v>
      </c>
      <c r="C33" s="130"/>
      <c r="D33" s="130"/>
      <c r="E33" s="130"/>
      <c r="F33" s="130"/>
      <c r="G33" s="131"/>
      <c r="H33" s="132"/>
      <c r="I33" s="132"/>
      <c r="J33" s="132"/>
      <c r="K33" s="136" t="e">
        <f>'2015 VER Calculator '!J22</f>
        <v>#N/A</v>
      </c>
      <c r="L33" s="132"/>
      <c r="M33" s="134"/>
      <c r="N33" s="134"/>
      <c r="O33" s="132"/>
      <c r="P33" s="132"/>
      <c r="Q33" s="132"/>
      <c r="R33" s="132"/>
      <c r="S33" s="133"/>
      <c r="T33" s="17"/>
      <c r="U33" s="17"/>
      <c r="V33" s="17"/>
    </row>
    <row r="34" spans="1:22" ht="27.75" thickTop="1" thickBot="1" x14ac:dyDescent="0.45">
      <c r="A34" s="129"/>
      <c r="B34" s="130"/>
      <c r="C34" s="130"/>
      <c r="D34" s="130"/>
      <c r="E34" s="130"/>
      <c r="F34" s="130"/>
      <c r="G34" s="131"/>
      <c r="H34" s="132"/>
      <c r="I34" s="132"/>
      <c r="J34" s="132"/>
      <c r="K34" s="134"/>
      <c r="L34" s="134"/>
      <c r="M34" s="134"/>
      <c r="N34" s="134"/>
      <c r="O34" s="132"/>
      <c r="P34" s="132"/>
      <c r="Q34" s="132"/>
      <c r="R34" s="132"/>
      <c r="S34" s="133"/>
      <c r="T34" s="17"/>
      <c r="U34" s="17"/>
      <c r="V34" s="17"/>
    </row>
    <row r="35" spans="1:22" ht="27.75" thickTop="1" thickBot="1" x14ac:dyDescent="0.45">
      <c r="A35" s="129"/>
      <c r="B35" s="130" t="s">
        <v>52</v>
      </c>
      <c r="C35" s="130"/>
      <c r="D35" s="130"/>
      <c r="E35" s="130"/>
      <c r="F35" s="130"/>
      <c r="G35" s="131"/>
      <c r="H35" s="132"/>
      <c r="I35" s="132"/>
      <c r="J35" s="132"/>
      <c r="K35" s="135" t="e">
        <f>'2015 VER Calculator '!J24</f>
        <v>#N/A</v>
      </c>
      <c r="L35" s="130" t="s">
        <v>56</v>
      </c>
      <c r="M35" s="134"/>
      <c r="N35" s="134"/>
      <c r="O35" s="130" t="s">
        <v>73</v>
      </c>
      <c r="P35" s="132"/>
      <c r="Q35" s="147" t="e">
        <f>K35*20/1030000</f>
        <v>#N/A</v>
      </c>
      <c r="R35" s="132"/>
      <c r="S35" s="133"/>
      <c r="T35" s="17"/>
      <c r="U35" s="17"/>
      <c r="V35" s="17"/>
    </row>
    <row r="36" spans="1:22" ht="27.75" thickTop="1" thickBot="1" x14ac:dyDescent="0.45">
      <c r="A36" s="137"/>
      <c r="B36" s="138"/>
      <c r="C36" s="138"/>
      <c r="D36" s="138"/>
      <c r="E36" s="138"/>
      <c r="F36" s="138"/>
      <c r="G36" s="138"/>
      <c r="H36" s="139"/>
      <c r="I36" s="139"/>
      <c r="J36" s="139"/>
      <c r="K36" s="139"/>
      <c r="L36" s="139"/>
      <c r="M36" s="140"/>
      <c r="N36" s="140"/>
      <c r="O36" s="140"/>
      <c r="P36" s="140"/>
      <c r="Q36" s="140"/>
      <c r="R36" s="140"/>
      <c r="S36" s="141"/>
      <c r="T36" s="17"/>
      <c r="U36" s="17"/>
      <c r="V36" s="17"/>
    </row>
    <row r="37" spans="1:22" ht="15.75" thickTop="1"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N133"/>
  <sheetViews>
    <sheetView tabSelected="1" topLeftCell="A37" workbookViewId="0">
      <selection activeCell="B5" sqref="B5"/>
    </sheetView>
  </sheetViews>
  <sheetFormatPr defaultRowHeight="15" x14ac:dyDescent="0.25"/>
  <cols>
    <col min="1" max="1" width="2.42578125" style="181" customWidth="1"/>
    <col min="2" max="3" width="9.140625" style="17"/>
    <col min="4" max="4" width="19.42578125" style="17" customWidth="1"/>
    <col min="5" max="5" width="20.7109375" style="17" customWidth="1"/>
    <col min="6" max="6" width="9.140625" style="17"/>
    <col min="7" max="7" width="19.85546875" style="17" customWidth="1"/>
    <col min="8" max="8" width="19" style="17" customWidth="1"/>
    <col min="9" max="9" width="21.7109375" style="17" customWidth="1"/>
    <col min="10" max="10" width="9.140625" style="17"/>
    <col min="11" max="11" width="19.5703125" style="17" customWidth="1"/>
    <col min="12" max="12" width="16" style="17" customWidth="1"/>
    <col min="13" max="13" width="17.85546875" style="17" customWidth="1"/>
    <col min="14" max="14" width="20.7109375" style="17" customWidth="1"/>
    <col min="15" max="15" width="17.7109375" style="17" customWidth="1"/>
    <col min="16" max="17" width="9.7109375" style="31" hidden="1" customWidth="1"/>
    <col min="18" max="18" width="8.5703125" style="31" hidden="1" customWidth="1"/>
    <col min="19" max="19" width="9.140625" style="31" hidden="1" customWidth="1"/>
    <col min="20" max="20" width="6.140625" style="31" hidden="1" customWidth="1"/>
    <col min="21" max="21" width="2.7109375" style="31" hidden="1" customWidth="1"/>
    <col min="22" max="22" width="9" style="31" hidden="1" customWidth="1"/>
    <col min="23" max="23" width="5.140625" style="31" hidden="1" customWidth="1"/>
    <col min="24" max="24" width="4.5703125" style="31" hidden="1" customWidth="1"/>
    <col min="25" max="25" width="3.5703125" style="31" hidden="1" customWidth="1"/>
    <col min="26" max="26" width="3.7109375" style="31" hidden="1" customWidth="1"/>
    <col min="27" max="27" width="3" style="31" hidden="1" customWidth="1"/>
    <col min="28" max="28" width="3.7109375" style="31" hidden="1" customWidth="1"/>
    <col min="29" max="29" width="4.42578125" style="31" hidden="1" customWidth="1"/>
    <col min="30" max="30" width="5.5703125" style="31" hidden="1" customWidth="1"/>
    <col min="31" max="31" width="5" style="31" hidden="1" customWidth="1"/>
    <col min="32" max="34" width="4.5703125" style="31" hidden="1" customWidth="1"/>
    <col min="35" max="35" width="5.28515625" style="31" hidden="1" customWidth="1"/>
    <col min="36" max="36" width="4.5703125" style="31" hidden="1" customWidth="1"/>
    <col min="37" max="37" width="3.5703125" style="31" hidden="1" customWidth="1"/>
    <col min="38" max="38" width="4.42578125" style="31" hidden="1" customWidth="1"/>
    <col min="39" max="39" width="5.140625" style="31" hidden="1" customWidth="1"/>
    <col min="40" max="40" width="6.7109375" style="31" hidden="1" customWidth="1"/>
    <col min="41" max="41" width="23.85546875" style="31" hidden="1" customWidth="1"/>
    <col min="42" max="42" width="4.7109375" style="31" hidden="1" customWidth="1"/>
    <col min="43" max="44" width="4.140625" style="31" hidden="1" customWidth="1"/>
    <col min="45" max="45" width="5" style="31" hidden="1" customWidth="1"/>
    <col min="46" max="47" width="5.5703125" style="31" hidden="1" customWidth="1"/>
    <col min="48" max="48" width="4.85546875" style="31" hidden="1" customWidth="1"/>
    <col min="49" max="49" width="5.85546875" style="31" hidden="1" customWidth="1"/>
    <col min="50" max="50" width="5.7109375" style="31" hidden="1" customWidth="1"/>
    <col min="51" max="51" width="8" style="31" hidden="1" customWidth="1"/>
    <col min="52" max="52" width="7" style="31" hidden="1" customWidth="1"/>
    <col min="53" max="53" width="8.7109375" style="31" hidden="1" customWidth="1"/>
    <col min="54" max="54" width="10.42578125" style="31" hidden="1" customWidth="1"/>
    <col min="55" max="55" width="9.7109375" style="31" hidden="1" customWidth="1"/>
    <col min="56" max="56" width="8.28515625" style="31" hidden="1" customWidth="1"/>
    <col min="57" max="57" width="6.28515625" style="31" hidden="1" customWidth="1"/>
    <col min="58" max="58" width="7.5703125" style="31" hidden="1" customWidth="1"/>
    <col min="59" max="59" width="6.28515625" style="31" hidden="1" customWidth="1"/>
    <col min="60" max="60" width="5.5703125" style="31" hidden="1" customWidth="1"/>
    <col min="61" max="61" width="4" style="31" hidden="1" customWidth="1"/>
    <col min="62" max="62" width="4.28515625" style="31" hidden="1" customWidth="1"/>
    <col min="63" max="63" width="5.28515625" style="31" hidden="1" customWidth="1"/>
    <col min="64" max="64" width="5.5703125" style="31" hidden="1" customWidth="1"/>
    <col min="65" max="65" width="7" style="31" hidden="1" customWidth="1"/>
    <col min="66" max="66" width="8.5703125" style="31" hidden="1" customWidth="1"/>
    <col min="67" max="67" width="8.140625" style="31" hidden="1" customWidth="1"/>
    <col min="68" max="68" width="7.5703125" style="31" hidden="1" customWidth="1"/>
    <col min="69" max="118" width="9.140625" style="181"/>
    <col min="119" max="16384" width="9.140625" style="31"/>
  </cols>
  <sheetData>
    <row r="1" spans="2:68" ht="21.75" thickTop="1" x14ac:dyDescent="0.35">
      <c r="B1" s="150" t="s">
        <v>133</v>
      </c>
      <c r="C1" s="151"/>
      <c r="D1" s="151"/>
      <c r="E1" s="151"/>
      <c r="F1" s="151"/>
      <c r="G1" s="151"/>
      <c r="H1" s="151"/>
      <c r="I1" s="151"/>
      <c r="J1" s="152"/>
      <c r="K1" s="152"/>
      <c r="L1" s="152"/>
      <c r="M1" s="152"/>
      <c r="N1" s="152"/>
      <c r="O1" s="153"/>
      <c r="BF1" s="31" t="s">
        <v>76</v>
      </c>
      <c r="BG1" s="31" t="s">
        <v>77</v>
      </c>
    </row>
    <row r="2" spans="2:68" ht="18.75" x14ac:dyDescent="0.3">
      <c r="B2" s="105" t="s">
        <v>78</v>
      </c>
      <c r="C2" s="154"/>
      <c r="D2" s="154"/>
      <c r="E2" s="154"/>
      <c r="F2" s="154"/>
      <c r="G2" s="154"/>
      <c r="H2" s="154"/>
      <c r="I2" s="154"/>
      <c r="J2" s="154"/>
      <c r="K2" s="154"/>
      <c r="L2" s="154"/>
      <c r="M2" s="154"/>
      <c r="N2" s="97"/>
      <c r="O2" s="155"/>
      <c r="AO2" s="31" t="s">
        <v>76</v>
      </c>
    </row>
    <row r="3" spans="2:68" ht="18.75" x14ac:dyDescent="0.3">
      <c r="B3" s="105" t="s">
        <v>145</v>
      </c>
      <c r="C3" s="154"/>
      <c r="D3" s="154"/>
      <c r="E3" s="154"/>
      <c r="F3" s="154"/>
      <c r="G3" s="154"/>
      <c r="H3" s="154"/>
      <c r="I3" s="154"/>
      <c r="J3" s="154"/>
      <c r="K3" s="154"/>
      <c r="L3" s="154"/>
      <c r="M3" s="154"/>
      <c r="N3" s="97"/>
      <c r="O3" s="155"/>
    </row>
    <row r="4" spans="2:68" ht="18.75" x14ac:dyDescent="0.3">
      <c r="B4" s="105" t="s">
        <v>149</v>
      </c>
      <c r="C4" s="154"/>
      <c r="D4" s="154"/>
      <c r="E4" s="154"/>
      <c r="F4" s="154"/>
      <c r="G4" s="154"/>
      <c r="H4" s="154"/>
      <c r="I4" s="154"/>
      <c r="J4" s="154"/>
      <c r="K4" s="154"/>
      <c r="L4" s="154"/>
      <c r="M4" s="154"/>
      <c r="N4" s="97"/>
      <c r="O4" s="155"/>
    </row>
    <row r="5" spans="2:68" ht="18.75" x14ac:dyDescent="0.3">
      <c r="B5" s="105" t="s">
        <v>146</v>
      </c>
      <c r="C5" s="154"/>
      <c r="D5" s="154"/>
      <c r="E5" s="154"/>
      <c r="F5" s="154"/>
      <c r="G5" s="154"/>
      <c r="H5" s="154"/>
      <c r="I5" s="154"/>
      <c r="J5" s="154"/>
      <c r="K5" s="154"/>
      <c r="L5" s="154"/>
      <c r="M5" s="154"/>
      <c r="N5" s="97"/>
      <c r="O5" s="155"/>
    </row>
    <row r="6" spans="2:68" ht="18.75" x14ac:dyDescent="0.3">
      <c r="B6" s="105" t="s">
        <v>147</v>
      </c>
      <c r="C6" s="154"/>
      <c r="D6" s="154"/>
      <c r="E6" s="154"/>
      <c r="F6" s="154"/>
      <c r="G6" s="154"/>
      <c r="H6" s="154"/>
      <c r="I6" s="154"/>
      <c r="J6" s="154"/>
      <c r="K6" s="154"/>
      <c r="L6" s="154"/>
      <c r="M6" s="154"/>
      <c r="N6" s="97"/>
      <c r="O6" s="155"/>
    </row>
    <row r="7" spans="2:68" ht="18.75" x14ac:dyDescent="0.3">
      <c r="B7" s="105" t="s">
        <v>148</v>
      </c>
      <c r="C7" s="154"/>
      <c r="D7" s="154"/>
      <c r="E7" s="154"/>
      <c r="F7" s="154"/>
      <c r="G7" s="154"/>
      <c r="H7" s="154"/>
      <c r="I7" s="154"/>
      <c r="J7" s="154"/>
      <c r="K7" s="154"/>
      <c r="L7" s="154"/>
      <c r="M7" s="154"/>
      <c r="N7" s="97"/>
      <c r="O7" s="155"/>
    </row>
    <row r="8" spans="2:68" ht="18.75" x14ac:dyDescent="0.3">
      <c r="B8" s="105" t="s">
        <v>134</v>
      </c>
      <c r="C8" s="154"/>
      <c r="D8" s="154"/>
      <c r="E8" s="154"/>
      <c r="F8" s="154"/>
      <c r="G8" s="154"/>
      <c r="H8" s="154"/>
      <c r="I8" s="154"/>
      <c r="J8" s="154"/>
      <c r="K8" s="154"/>
      <c r="L8" s="154"/>
      <c r="M8" s="154"/>
      <c r="N8" s="97"/>
      <c r="O8" s="155"/>
    </row>
    <row r="9" spans="2:68" ht="18.75" x14ac:dyDescent="0.3">
      <c r="B9" s="105" t="s">
        <v>150</v>
      </c>
      <c r="C9" s="154"/>
      <c r="D9" s="154"/>
      <c r="E9" s="154"/>
      <c r="F9" s="154"/>
      <c r="G9" s="154"/>
      <c r="H9" s="154"/>
      <c r="I9" s="154"/>
      <c r="J9" s="154"/>
      <c r="K9" s="154"/>
      <c r="L9" s="154"/>
      <c r="M9" s="154"/>
      <c r="N9" s="97"/>
      <c r="O9" s="155"/>
    </row>
    <row r="10" spans="2:68" ht="19.5" thickBot="1" x14ac:dyDescent="0.35">
      <c r="B10" s="156" t="s">
        <v>151</v>
      </c>
      <c r="C10" s="157"/>
      <c r="D10" s="157"/>
      <c r="E10" s="157"/>
      <c r="F10" s="157"/>
      <c r="G10" s="157"/>
      <c r="H10" s="157"/>
      <c r="I10" s="157"/>
      <c r="J10" s="157"/>
      <c r="K10" s="157"/>
      <c r="L10" s="157"/>
      <c r="M10" s="157"/>
      <c r="N10" s="158"/>
      <c r="O10" s="159"/>
      <c r="S10" s="31" t="s">
        <v>79</v>
      </c>
    </row>
    <row r="11" spans="2:68" ht="15.75" thickTop="1" x14ac:dyDescent="0.25">
      <c r="B11" s="160"/>
      <c r="C11" s="152"/>
      <c r="D11" s="152"/>
      <c r="E11" s="152"/>
      <c r="F11" s="152"/>
      <c r="G11" s="152"/>
      <c r="H11" s="152"/>
      <c r="I11" s="152"/>
      <c r="J11" s="152"/>
      <c r="K11" s="152"/>
      <c r="L11" s="152"/>
      <c r="M11" s="152"/>
      <c r="N11" s="152"/>
      <c r="O11" s="153"/>
      <c r="S11" s="31" t="s">
        <v>80</v>
      </c>
      <c r="T11" s="31" t="s">
        <v>81</v>
      </c>
      <c r="W11" s="31" t="s">
        <v>82</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1" t="s">
        <v>135</v>
      </c>
      <c r="C12" s="97"/>
      <c r="D12" s="97"/>
      <c r="E12" s="97"/>
      <c r="F12" s="97"/>
      <c r="G12" s="97"/>
      <c r="H12" s="97"/>
      <c r="I12" s="97"/>
      <c r="J12" s="97"/>
      <c r="K12" s="97"/>
      <c r="L12" s="97"/>
      <c r="M12" s="97"/>
      <c r="N12" s="97"/>
      <c r="O12" s="155"/>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05"/>
      <c r="C13" s="154"/>
      <c r="D13" s="154"/>
      <c r="E13" s="154"/>
      <c r="F13" s="154"/>
      <c r="G13" s="154"/>
      <c r="H13" s="154"/>
      <c r="I13" s="154"/>
      <c r="J13" s="154"/>
      <c r="K13" s="154"/>
      <c r="L13" s="154"/>
      <c r="M13" s="183" t="s">
        <v>32</v>
      </c>
      <c r="N13" s="183" t="s">
        <v>83</v>
      </c>
      <c r="O13" s="155"/>
      <c r="W13" s="31">
        <f>W12+S12</f>
        <v>0</v>
      </c>
      <c r="X13" s="31" t="s">
        <v>84</v>
      </c>
      <c r="Y13" s="31">
        <f>T12/365+S12</f>
        <v>0</v>
      </c>
      <c r="AN13" s="31">
        <v>55</v>
      </c>
      <c r="AO13" s="31">
        <v>0.64300000000000002</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05" t="s">
        <v>85</v>
      </c>
      <c r="C14" s="154"/>
      <c r="D14" s="154"/>
      <c r="E14" s="154"/>
      <c r="F14" s="154"/>
      <c r="G14" s="154"/>
      <c r="H14" s="154"/>
      <c r="I14" s="154"/>
      <c r="J14" s="154"/>
      <c r="K14" s="154"/>
      <c r="L14" s="154"/>
      <c r="M14" s="173">
        <v>0</v>
      </c>
      <c r="N14" s="173">
        <v>0</v>
      </c>
      <c r="O14" s="155"/>
      <c r="AJ14" s="31">
        <v>1</v>
      </c>
      <c r="AK14" s="31">
        <v>12</v>
      </c>
      <c r="AL14" s="31">
        <v>8.3333333333333329E-2</v>
      </c>
      <c r="AN14" s="31">
        <v>55.083333333333336</v>
      </c>
      <c r="AO14" s="31">
        <v>0.64500000000000002</v>
      </c>
      <c r="AV14" s="31" t="s">
        <v>86</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05" t="s">
        <v>136</v>
      </c>
      <c r="C15" s="154"/>
      <c r="D15" s="154"/>
      <c r="E15" s="154"/>
      <c r="F15" s="154"/>
      <c r="G15" s="154"/>
      <c r="H15" s="154"/>
      <c r="I15" s="154"/>
      <c r="J15" s="154"/>
      <c r="K15" s="154"/>
      <c r="L15" s="154"/>
      <c r="M15" s="154"/>
      <c r="N15" s="154"/>
      <c r="O15" s="155"/>
      <c r="AF15" s="31" t="s">
        <v>34</v>
      </c>
      <c r="AH15" s="31" t="s">
        <v>35</v>
      </c>
      <c r="AJ15" s="31">
        <v>2</v>
      </c>
      <c r="AK15" s="31">
        <v>12</v>
      </c>
      <c r="AL15" s="31">
        <v>0.16666666666666666</v>
      </c>
      <c r="AN15" s="31">
        <v>55.166666666666664</v>
      </c>
      <c r="AO15" s="31">
        <v>0.64700000000000002</v>
      </c>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05"/>
      <c r="C16" s="154"/>
      <c r="D16" s="154"/>
      <c r="E16" s="154"/>
      <c r="F16" s="154"/>
      <c r="G16" s="154"/>
      <c r="H16" s="154"/>
      <c r="I16" s="154"/>
      <c r="J16" s="154"/>
      <c r="K16" s="154"/>
      <c r="L16" s="154"/>
      <c r="M16" s="154"/>
      <c r="N16" s="154"/>
      <c r="O16" s="155"/>
      <c r="U16" s="31" t="s">
        <v>124</v>
      </c>
      <c r="V16" s="31" t="e">
        <f>(W13/60*M17)*Z19</f>
        <v>#N/A</v>
      </c>
      <c r="X16" s="31" t="e">
        <f>V16*AB11</f>
        <v>#N/A</v>
      </c>
      <c r="AJ16" s="31">
        <v>3</v>
      </c>
      <c r="AK16" s="31">
        <v>12</v>
      </c>
      <c r="AL16" s="31">
        <v>0.25</v>
      </c>
      <c r="AN16" s="31">
        <v>55.25</v>
      </c>
      <c r="AO16" s="31">
        <v>0.65</v>
      </c>
      <c r="AV16" s="31">
        <f>N30/12</f>
        <v>0</v>
      </c>
      <c r="AX16" s="31">
        <f>AV16+M30</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05" t="s">
        <v>137</v>
      </c>
      <c r="C17" s="154"/>
      <c r="D17" s="154"/>
      <c r="E17" s="154"/>
      <c r="F17" s="154"/>
      <c r="G17" s="154"/>
      <c r="H17" s="154"/>
      <c r="I17" s="154"/>
      <c r="J17" s="154"/>
      <c r="K17" s="154"/>
      <c r="L17" s="154"/>
      <c r="M17" s="174">
        <v>0</v>
      </c>
      <c r="N17" s="154"/>
      <c r="O17" s="155"/>
      <c r="AF17" s="31">
        <f>N30/12</f>
        <v>0</v>
      </c>
      <c r="AH17" s="31">
        <f>M30+AF17</f>
        <v>0</v>
      </c>
      <c r="AJ17" s="31">
        <v>4</v>
      </c>
      <c r="AK17" s="31">
        <v>12</v>
      </c>
      <c r="AL17" s="31">
        <v>0.33333333333333331</v>
      </c>
      <c r="AN17" s="31">
        <v>55.333333333333336</v>
      </c>
      <c r="AO17" s="31">
        <v>0.65200000000000002</v>
      </c>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19.5" thickTop="1" x14ac:dyDescent="0.3">
      <c r="B18" s="105"/>
      <c r="C18" s="154"/>
      <c r="D18" s="154"/>
      <c r="E18" s="154"/>
      <c r="F18" s="154"/>
      <c r="G18" s="154"/>
      <c r="H18" s="154"/>
      <c r="I18" s="154"/>
      <c r="J18" s="154"/>
      <c r="K18" s="154"/>
      <c r="L18" s="154"/>
      <c r="M18" s="154"/>
      <c r="N18" s="154"/>
      <c r="O18" s="155"/>
      <c r="R18" s="31" t="s">
        <v>87</v>
      </c>
      <c r="V18" s="31" t="e">
        <f>V16*3</f>
        <v>#N/A</v>
      </c>
      <c r="X18" s="31" t="e">
        <f>V18*AC11</f>
        <v>#N/A</v>
      </c>
      <c r="AJ18" s="31">
        <v>5</v>
      </c>
      <c r="AK18" s="31">
        <v>12</v>
      </c>
      <c r="AL18" s="31">
        <v>0.41666666666666669</v>
      </c>
      <c r="AN18" s="31">
        <v>55.416666666666664</v>
      </c>
      <c r="AO18" s="31">
        <v>0.65400000000000003</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18.75" x14ac:dyDescent="0.3">
      <c r="B19" s="105"/>
      <c r="C19" s="154"/>
      <c r="D19" s="154"/>
      <c r="E19" s="154"/>
      <c r="F19" s="154"/>
      <c r="G19" s="154"/>
      <c r="H19" s="154"/>
      <c r="I19" s="154"/>
      <c r="J19" s="154"/>
      <c r="K19" s="154"/>
      <c r="L19" s="154"/>
      <c r="M19" s="175"/>
      <c r="N19" s="154"/>
      <c r="O19" s="155"/>
      <c r="R19" s="31" t="s">
        <v>88</v>
      </c>
      <c r="Z19" s="31" t="e">
        <f>LOOKUP(AH17,AN13:AN133,AO13:AO133)</f>
        <v>#N/A</v>
      </c>
      <c r="AA19" s="31" t="s">
        <v>125</v>
      </c>
      <c r="AJ19" s="31">
        <v>6</v>
      </c>
      <c r="AK19" s="31">
        <v>12</v>
      </c>
      <c r="AL19" s="31">
        <v>0.5</v>
      </c>
      <c r="AN19" s="31">
        <v>55.5</v>
      </c>
      <c r="AO19" s="31">
        <v>0.65600000000000003</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8.75" x14ac:dyDescent="0.3">
      <c r="B20" s="105"/>
      <c r="C20" s="154"/>
      <c r="D20" s="154"/>
      <c r="E20" s="154"/>
      <c r="F20" s="154"/>
      <c r="G20" s="154"/>
      <c r="H20" s="154"/>
      <c r="I20" s="154"/>
      <c r="J20" s="154"/>
      <c r="K20" s="154"/>
      <c r="L20" s="154"/>
      <c r="M20" s="154"/>
      <c r="N20" s="154"/>
      <c r="O20" s="155"/>
      <c r="AJ20" s="31">
        <v>7</v>
      </c>
      <c r="AK20" s="31">
        <v>12</v>
      </c>
      <c r="AL20" s="31">
        <v>0.58333333333333337</v>
      </c>
      <c r="AN20" s="31">
        <v>55.583333333333336</v>
      </c>
      <c r="AO20" s="31">
        <v>0.65800000000000003</v>
      </c>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61" t="s">
        <v>89</v>
      </c>
      <c r="C21" s="97"/>
      <c r="D21" s="97"/>
      <c r="E21" s="97"/>
      <c r="F21" s="97"/>
      <c r="G21" s="97"/>
      <c r="H21" s="97"/>
      <c r="I21" s="97"/>
      <c r="J21" s="97"/>
      <c r="K21" s="97"/>
      <c r="L21" s="97"/>
      <c r="M21" s="97"/>
      <c r="N21" s="97"/>
      <c r="O21" s="155"/>
      <c r="AJ21" s="31">
        <v>8</v>
      </c>
      <c r="AK21" s="31">
        <v>12</v>
      </c>
      <c r="AL21" s="31">
        <v>0.66666666666666663</v>
      </c>
      <c r="AN21" s="31">
        <v>55.666666666666664</v>
      </c>
      <c r="AO21" s="31">
        <v>0.66</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62"/>
      <c r="C22" s="97"/>
      <c r="D22" s="97"/>
      <c r="E22" s="97"/>
      <c r="F22" s="97"/>
      <c r="G22" s="97"/>
      <c r="H22" s="97"/>
      <c r="I22" s="97"/>
      <c r="J22" s="97"/>
      <c r="K22" s="97"/>
      <c r="L22" s="97"/>
      <c r="M22" s="97"/>
      <c r="N22" s="97"/>
      <c r="O22" s="155"/>
      <c r="P22" s="31">
        <v>43555</v>
      </c>
      <c r="AJ22" s="31">
        <v>9</v>
      </c>
      <c r="AK22" s="31">
        <v>12</v>
      </c>
      <c r="AL22" s="31">
        <v>0.75</v>
      </c>
      <c r="AN22" s="31">
        <v>55.75</v>
      </c>
      <c r="AO22" s="31">
        <v>0.66200000000000003</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8.75" x14ac:dyDescent="0.3">
      <c r="B23" s="105" t="s">
        <v>138</v>
      </c>
      <c r="C23" s="154"/>
      <c r="D23" s="154"/>
      <c r="E23" s="154"/>
      <c r="F23" s="154"/>
      <c r="G23" s="154"/>
      <c r="H23" s="154"/>
      <c r="I23" s="154"/>
      <c r="J23" s="154"/>
      <c r="K23" s="154"/>
      <c r="L23" s="154"/>
      <c r="M23" s="154"/>
      <c r="N23" s="154"/>
      <c r="O23" s="155"/>
      <c r="AJ23" s="31">
        <v>10</v>
      </c>
      <c r="AK23" s="31">
        <v>12</v>
      </c>
      <c r="AL23" s="31">
        <v>0.83333333333333337</v>
      </c>
      <c r="AN23" s="31">
        <v>55.833333333333336</v>
      </c>
      <c r="AO23" s="31">
        <v>0.66500000000000004</v>
      </c>
      <c r="BE23" s="31">
        <v>51</v>
      </c>
      <c r="BF23" s="31">
        <v>0.68500000000000005</v>
      </c>
      <c r="BG23" s="31">
        <v>0.80800000000000005</v>
      </c>
    </row>
    <row r="24" spans="2:68" ht="19.5" thickBot="1" x14ac:dyDescent="0.35">
      <c r="B24" s="105"/>
      <c r="C24" s="154"/>
      <c r="D24" s="154"/>
      <c r="E24" s="154"/>
      <c r="F24" s="154"/>
      <c r="G24" s="154"/>
      <c r="H24" s="154"/>
      <c r="I24" s="154"/>
      <c r="J24" s="154"/>
      <c r="K24" s="154"/>
      <c r="L24" s="154"/>
      <c r="M24" s="183" t="s">
        <v>5</v>
      </c>
      <c r="N24" s="154"/>
      <c r="O24" s="155"/>
      <c r="P24" s="31" t="e">
        <f>(M22-P22)*#REF!</f>
        <v>#REF!</v>
      </c>
      <c r="R24" s="31">
        <f>YEAR(M22)-YEAR(P22)</f>
        <v>-119</v>
      </c>
      <c r="S24" s="31" t="e">
        <f>P24-(R24*365)</f>
        <v>#REF!</v>
      </c>
      <c r="AJ24" s="31">
        <v>11</v>
      </c>
      <c r="AK24" s="31">
        <v>12</v>
      </c>
      <c r="AL24" s="31">
        <v>0.91666666666666663</v>
      </c>
      <c r="AN24" s="31">
        <v>55.916666666666664</v>
      </c>
      <c r="AO24" s="31">
        <v>0.66700000000000004</v>
      </c>
      <c r="BE24" s="31">
        <v>51.083333333333336</v>
      </c>
      <c r="BF24" s="31">
        <v>0.68700000000000006</v>
      </c>
      <c r="BG24" s="31">
        <v>0.80900000000000005</v>
      </c>
    </row>
    <row r="25" spans="2:68" ht="20.25" thickTop="1" thickBot="1" x14ac:dyDescent="0.35">
      <c r="B25" s="105" t="s">
        <v>90</v>
      </c>
      <c r="C25" s="154"/>
      <c r="D25" s="154"/>
      <c r="E25" s="154"/>
      <c r="F25" s="154"/>
      <c r="G25" s="154"/>
      <c r="H25" s="154"/>
      <c r="I25" s="154"/>
      <c r="J25" s="154"/>
      <c r="K25" s="154"/>
      <c r="L25" s="154"/>
      <c r="M25" s="173">
        <v>0</v>
      </c>
      <c r="N25" s="154"/>
      <c r="O25" s="155"/>
      <c r="AN25" s="31">
        <v>56</v>
      </c>
      <c r="AO25" s="31">
        <v>0.66900000000000004</v>
      </c>
      <c r="BE25" s="31">
        <v>51.166666666666664</v>
      </c>
      <c r="BF25" s="31">
        <v>0.68899999999999995</v>
      </c>
      <c r="BG25" s="31">
        <v>0.81100000000000005</v>
      </c>
    </row>
    <row r="26" spans="2:68" ht="20.25" thickTop="1" thickBot="1" x14ac:dyDescent="0.35">
      <c r="B26" s="105"/>
      <c r="C26" s="154"/>
      <c r="D26" s="154"/>
      <c r="E26" s="154"/>
      <c r="F26" s="154"/>
      <c r="G26" s="154"/>
      <c r="H26" s="154"/>
      <c r="I26" s="154"/>
      <c r="J26" s="154"/>
      <c r="K26" s="154"/>
      <c r="L26" s="154"/>
      <c r="M26" s="154"/>
      <c r="N26" s="154"/>
      <c r="O26" s="155"/>
      <c r="AN26" s="31">
        <v>56.083333333333336</v>
      </c>
      <c r="AO26" s="31">
        <v>0.67100000000000004</v>
      </c>
      <c r="BE26" s="31">
        <v>51.25</v>
      </c>
      <c r="BF26" s="31">
        <v>0.69099999999999995</v>
      </c>
      <c r="BG26" s="31">
        <v>0.81299999999999994</v>
      </c>
    </row>
    <row r="27" spans="2:68" ht="20.25" thickTop="1" thickBot="1" x14ac:dyDescent="0.35">
      <c r="B27" s="105" t="s">
        <v>139</v>
      </c>
      <c r="C27" s="154"/>
      <c r="D27" s="154"/>
      <c r="E27" s="154"/>
      <c r="F27" s="154"/>
      <c r="G27" s="154"/>
      <c r="H27" s="154"/>
      <c r="I27" s="154"/>
      <c r="J27" s="154"/>
      <c r="K27" s="154"/>
      <c r="L27" s="154"/>
      <c r="M27" s="174">
        <v>0</v>
      </c>
      <c r="N27" s="154" t="s">
        <v>56</v>
      </c>
      <c r="O27" s="155"/>
      <c r="AN27" s="31">
        <v>56.166666666666664</v>
      </c>
      <c r="AO27" s="31">
        <v>0.67300000000000004</v>
      </c>
      <c r="BE27" s="31">
        <v>51.333333333333336</v>
      </c>
      <c r="BF27" s="31">
        <v>0.69299999999999995</v>
      </c>
      <c r="BG27" s="31">
        <v>0.81399999999999995</v>
      </c>
    </row>
    <row r="28" spans="2:68" ht="15.75" thickTop="1" x14ac:dyDescent="0.25">
      <c r="B28" s="162"/>
      <c r="C28" s="97"/>
      <c r="D28" s="97"/>
      <c r="E28" s="97"/>
      <c r="F28" s="97"/>
      <c r="G28" s="97"/>
      <c r="H28" s="97"/>
      <c r="I28" s="97"/>
      <c r="J28" s="97"/>
      <c r="K28" s="97"/>
      <c r="L28" s="97"/>
      <c r="M28" s="97"/>
      <c r="N28" s="97"/>
      <c r="O28" s="155"/>
      <c r="AN28" s="31">
        <v>56.25</v>
      </c>
      <c r="AO28" s="31">
        <v>0.67600000000000005</v>
      </c>
      <c r="BE28" s="31">
        <v>51.416666666666664</v>
      </c>
      <c r="BF28" s="31">
        <v>0.69499999999999995</v>
      </c>
      <c r="BG28" s="31">
        <v>0.81599999999999995</v>
      </c>
    </row>
    <row r="29" spans="2:68" ht="19.5" thickBot="1" x14ac:dyDescent="0.35">
      <c r="B29" s="105"/>
      <c r="C29" s="154"/>
      <c r="D29" s="154"/>
      <c r="E29" s="154"/>
      <c r="F29" s="154"/>
      <c r="G29" s="154"/>
      <c r="H29" s="154"/>
      <c r="I29" s="154"/>
      <c r="J29" s="154"/>
      <c r="K29" s="154"/>
      <c r="L29" s="154"/>
      <c r="M29" s="183" t="s">
        <v>32</v>
      </c>
      <c r="N29" s="183" t="s">
        <v>33</v>
      </c>
      <c r="O29" s="155"/>
      <c r="AN29" s="31">
        <v>56.333333333333336</v>
      </c>
      <c r="AO29" s="31">
        <v>0.67800000000000005</v>
      </c>
      <c r="BE29" s="31">
        <v>51.5</v>
      </c>
      <c r="BF29" s="31">
        <v>0.69699999999999995</v>
      </c>
      <c r="BG29" s="31">
        <v>0.81699999999999995</v>
      </c>
    </row>
    <row r="30" spans="2:68" ht="20.25" thickTop="1" thickBot="1" x14ac:dyDescent="0.35">
      <c r="B30" s="105" t="s">
        <v>91</v>
      </c>
      <c r="C30" s="154"/>
      <c r="D30" s="154"/>
      <c r="E30" s="154"/>
      <c r="F30" s="154"/>
      <c r="G30" s="154"/>
      <c r="H30" s="154"/>
      <c r="I30" s="154"/>
      <c r="J30" s="154"/>
      <c r="K30" s="154"/>
      <c r="L30" s="154"/>
      <c r="M30" s="173">
        <v>0</v>
      </c>
      <c r="N30" s="173">
        <v>0</v>
      </c>
      <c r="O30" s="155"/>
      <c r="AN30" s="31">
        <v>56.416666666666664</v>
      </c>
      <c r="AO30" s="31">
        <v>0.68</v>
      </c>
      <c r="BE30" s="31">
        <v>51.583333333333336</v>
      </c>
      <c r="BF30" s="31">
        <v>0.7</v>
      </c>
      <c r="BG30" s="31">
        <v>0.81899999999999995</v>
      </c>
    </row>
    <row r="31" spans="2:68" ht="19.5" thickTop="1" x14ac:dyDescent="0.3">
      <c r="B31" s="105"/>
      <c r="C31" s="154"/>
      <c r="D31" s="154"/>
      <c r="E31" s="154"/>
      <c r="F31" s="154"/>
      <c r="G31" s="154"/>
      <c r="H31" s="154"/>
      <c r="I31" s="154"/>
      <c r="J31" s="154"/>
      <c r="K31" s="154"/>
      <c r="L31" s="154"/>
      <c r="M31" s="154"/>
      <c r="N31" s="154"/>
      <c r="O31" s="155"/>
      <c r="AN31" s="31">
        <v>56.5</v>
      </c>
      <c r="AO31" s="31">
        <v>0.68300000000000005</v>
      </c>
      <c r="BE31" s="31">
        <v>51.666666666666664</v>
      </c>
      <c r="BF31" s="31">
        <v>0.70199999999999996</v>
      </c>
      <c r="BG31" s="31">
        <v>0.82099999999999995</v>
      </c>
    </row>
    <row r="32" spans="2:68" ht="18.75" x14ac:dyDescent="0.3">
      <c r="B32" s="105"/>
      <c r="C32" s="154"/>
      <c r="D32" s="154"/>
      <c r="E32" s="154"/>
      <c r="F32" s="154"/>
      <c r="G32" s="154"/>
      <c r="H32" s="154"/>
      <c r="I32" s="154"/>
      <c r="J32" s="154"/>
      <c r="K32" s="154"/>
      <c r="L32" s="154"/>
      <c r="M32" s="154"/>
      <c r="N32" s="154"/>
      <c r="O32" s="155"/>
      <c r="AN32" s="31">
        <v>56.583333333333336</v>
      </c>
      <c r="AO32" s="31">
        <v>0.68500000000000005</v>
      </c>
      <c r="BE32" s="31">
        <v>51.75</v>
      </c>
      <c r="BF32" s="31">
        <v>0.70399999999999996</v>
      </c>
      <c r="BG32" s="31">
        <v>0.82199999999999995</v>
      </c>
    </row>
    <row r="33" spans="2:59" ht="18.75" x14ac:dyDescent="0.3">
      <c r="B33" s="105" t="s">
        <v>92</v>
      </c>
      <c r="C33" s="154"/>
      <c r="D33" s="154"/>
      <c r="E33" s="154"/>
      <c r="F33" s="154"/>
      <c r="G33" s="154"/>
      <c r="H33" s="154"/>
      <c r="I33" s="154"/>
      <c r="J33" s="154"/>
      <c r="K33" s="154"/>
      <c r="L33" s="154"/>
      <c r="M33" s="154"/>
      <c r="N33" s="154"/>
      <c r="O33" s="155"/>
      <c r="AN33" s="31">
        <v>56.666666666666664</v>
      </c>
      <c r="AO33" s="31">
        <v>0.68700000000000006</v>
      </c>
      <c r="BE33" s="31">
        <v>51.833333333333336</v>
      </c>
      <c r="BF33" s="31">
        <v>0.70599999999999996</v>
      </c>
      <c r="BG33" s="31">
        <v>0.82399999999999995</v>
      </c>
    </row>
    <row r="34" spans="2:59" ht="15.75" thickBot="1" x14ac:dyDescent="0.3">
      <c r="B34" s="163"/>
      <c r="C34" s="158"/>
      <c r="D34" s="158"/>
      <c r="E34" s="158"/>
      <c r="F34" s="158"/>
      <c r="G34" s="158"/>
      <c r="H34" s="158"/>
      <c r="I34" s="158"/>
      <c r="J34" s="158"/>
      <c r="K34" s="158"/>
      <c r="L34" s="158"/>
      <c r="M34" s="158"/>
      <c r="N34" s="158"/>
      <c r="O34" s="159"/>
      <c r="AN34" s="31">
        <v>56.75</v>
      </c>
      <c r="AO34" s="31">
        <v>0.68899999999999995</v>
      </c>
      <c r="BE34" s="31">
        <v>51.916666666666664</v>
      </c>
      <c r="BF34" s="31">
        <v>0.70799999999999996</v>
      </c>
      <c r="BG34" s="31">
        <v>0.82599999999999996</v>
      </c>
    </row>
    <row r="35" spans="2:59" ht="15.75" thickTop="1" x14ac:dyDescent="0.25">
      <c r="B35" s="160"/>
      <c r="C35" s="152"/>
      <c r="D35" s="152"/>
      <c r="E35" s="152"/>
      <c r="F35" s="152"/>
      <c r="G35" s="152"/>
      <c r="H35" s="152"/>
      <c r="I35" s="152"/>
      <c r="J35" s="152"/>
      <c r="K35" s="152"/>
      <c r="L35" s="152"/>
      <c r="M35" s="152"/>
      <c r="N35" s="152"/>
      <c r="O35" s="153"/>
      <c r="AN35" s="31">
        <v>56.833333333333336</v>
      </c>
      <c r="AO35" s="31">
        <v>0.69199999999999995</v>
      </c>
      <c r="BE35" s="31">
        <v>52</v>
      </c>
      <c r="BF35" s="31">
        <v>0.71</v>
      </c>
      <c r="BG35" s="31">
        <v>0.82699999999999996</v>
      </c>
    </row>
    <row r="36" spans="2:59" ht="21" x14ac:dyDescent="0.35">
      <c r="B36" s="161" t="s">
        <v>93</v>
      </c>
      <c r="C36" s="97"/>
      <c r="D36" s="97"/>
      <c r="E36" s="97"/>
      <c r="F36" s="97"/>
      <c r="G36" s="97"/>
      <c r="H36" s="97"/>
      <c r="I36" s="97"/>
      <c r="J36" s="97"/>
      <c r="K36" s="97"/>
      <c r="L36" s="97"/>
      <c r="M36" s="97"/>
      <c r="N36" s="97"/>
      <c r="O36" s="155"/>
      <c r="AN36" s="31">
        <v>56.916666666666664</v>
      </c>
      <c r="AO36" s="31">
        <v>0.69399999999999995</v>
      </c>
      <c r="BE36" s="31">
        <v>52.083333333333336</v>
      </c>
      <c r="BF36" s="31">
        <v>0.71299999999999997</v>
      </c>
      <c r="BG36" s="31">
        <v>0.82899999999999996</v>
      </c>
    </row>
    <row r="37" spans="2:59" x14ac:dyDescent="0.25">
      <c r="B37" s="162"/>
      <c r="C37" s="97"/>
      <c r="D37" s="97"/>
      <c r="E37" s="97"/>
      <c r="F37" s="97"/>
      <c r="G37" s="97"/>
      <c r="H37" s="97"/>
      <c r="I37" s="97"/>
      <c r="J37" s="97"/>
      <c r="K37" s="97"/>
      <c r="L37" s="97"/>
      <c r="M37" s="97"/>
      <c r="N37" s="97"/>
      <c r="O37" s="155"/>
      <c r="AN37" s="31">
        <v>57</v>
      </c>
      <c r="AO37" s="31">
        <v>0.69599999999999995</v>
      </c>
      <c r="BE37" s="31">
        <v>52.166666666666664</v>
      </c>
      <c r="BF37" s="31">
        <v>0.71499999999999997</v>
      </c>
      <c r="BG37" s="31">
        <v>0.83</v>
      </c>
    </row>
    <row r="38" spans="2:59" ht="18.75" x14ac:dyDescent="0.3">
      <c r="B38" s="105" t="s">
        <v>152</v>
      </c>
      <c r="C38" s="154"/>
      <c r="D38" s="154"/>
      <c r="E38" s="154"/>
      <c r="F38" s="154"/>
      <c r="G38" s="154"/>
      <c r="H38" s="154"/>
      <c r="I38" s="154"/>
      <c r="J38" s="154"/>
      <c r="K38" s="154"/>
      <c r="L38" s="154"/>
      <c r="M38" s="154"/>
      <c r="N38" s="154"/>
      <c r="O38" s="155"/>
      <c r="AN38" s="31">
        <v>57.083333333333336</v>
      </c>
      <c r="AO38" s="31">
        <v>0.69899999999999995</v>
      </c>
      <c r="BE38" s="31">
        <v>52.25</v>
      </c>
      <c r="BF38" s="31">
        <v>0.71699999999999997</v>
      </c>
      <c r="BG38" s="31">
        <v>0.83199999999999996</v>
      </c>
    </row>
    <row r="39" spans="2:59" ht="18.75" x14ac:dyDescent="0.3">
      <c r="B39" s="105"/>
      <c r="C39" s="154" t="s">
        <v>140</v>
      </c>
      <c r="D39" s="154"/>
      <c r="E39" s="154"/>
      <c r="F39" s="154"/>
      <c r="G39" s="154" t="s">
        <v>94</v>
      </c>
      <c r="H39" s="154"/>
      <c r="I39" s="154"/>
      <c r="J39" s="154"/>
      <c r="K39" s="154"/>
      <c r="L39" s="154" t="s">
        <v>95</v>
      </c>
      <c r="M39" s="154"/>
      <c r="N39" s="154"/>
      <c r="O39" s="155"/>
      <c r="AN39" s="31">
        <v>57.166666666666664</v>
      </c>
      <c r="AO39" s="31">
        <v>0.70099999999999996</v>
      </c>
      <c r="BE39" s="31">
        <v>52.333333333333336</v>
      </c>
      <c r="BF39" s="31">
        <v>0.72</v>
      </c>
      <c r="BG39" s="31">
        <v>0.83399999999999996</v>
      </c>
    </row>
    <row r="40" spans="2:59" ht="19.5" thickBot="1" x14ac:dyDescent="0.35">
      <c r="B40" s="105"/>
      <c r="C40" s="154"/>
      <c r="D40" s="154"/>
      <c r="E40" s="154"/>
      <c r="F40" s="154"/>
      <c r="G40" s="154"/>
      <c r="H40" s="154"/>
      <c r="I40" s="154"/>
      <c r="J40" s="154"/>
      <c r="K40" s="154"/>
      <c r="L40" s="154"/>
      <c r="M40" s="154"/>
      <c r="N40" s="154"/>
      <c r="O40" s="155"/>
      <c r="AN40" s="31">
        <v>57.25</v>
      </c>
      <c r="AO40" s="31">
        <v>0.70399999999999996</v>
      </c>
      <c r="BE40" s="31">
        <v>52.416666666666664</v>
      </c>
      <c r="BF40" s="31">
        <v>0.72199999999999998</v>
      </c>
      <c r="BG40" s="31">
        <v>0.83499999999999996</v>
      </c>
    </row>
    <row r="41" spans="2:59" ht="20.25" thickTop="1" thickBot="1" x14ac:dyDescent="0.35">
      <c r="B41" s="105"/>
      <c r="C41" s="154" t="s">
        <v>96</v>
      </c>
      <c r="D41" s="154"/>
      <c r="E41" s="164" t="e">
        <f>V16</f>
        <v>#N/A</v>
      </c>
      <c r="F41" s="154"/>
      <c r="G41" s="154" t="s">
        <v>96</v>
      </c>
      <c r="H41" s="154"/>
      <c r="I41" s="164" t="e">
        <f>'2015 calculator age 66'!K35</f>
        <v>#N/A</v>
      </c>
      <c r="J41" s="154"/>
      <c r="K41" s="154"/>
      <c r="L41" s="154" t="s">
        <v>96</v>
      </c>
      <c r="M41" s="154"/>
      <c r="N41" s="164" t="e">
        <f>E41+I41</f>
        <v>#N/A</v>
      </c>
      <c r="O41" s="155"/>
      <c r="AN41" s="31">
        <v>57.333333333333336</v>
      </c>
      <c r="AO41" s="31">
        <v>0.70599999999999996</v>
      </c>
      <c r="BE41" s="31">
        <v>52.5</v>
      </c>
      <c r="BF41" s="31">
        <v>0.72399999999999998</v>
      </c>
      <c r="BG41" s="31">
        <v>0.83699999999999997</v>
      </c>
    </row>
    <row r="42" spans="2:59" ht="19.5" thickTop="1" x14ac:dyDescent="0.3">
      <c r="B42" s="105"/>
      <c r="C42" s="154"/>
      <c r="D42" s="154"/>
      <c r="E42" s="165"/>
      <c r="F42" s="154"/>
      <c r="G42" s="154"/>
      <c r="H42" s="154"/>
      <c r="I42" s="154"/>
      <c r="J42" s="154"/>
      <c r="K42" s="154"/>
      <c r="L42" s="154"/>
      <c r="M42" s="154"/>
      <c r="N42" s="165"/>
      <c r="O42" s="155"/>
      <c r="AN42" s="31">
        <v>57.416666666666664</v>
      </c>
      <c r="AO42" s="31">
        <v>0.70799999999999996</v>
      </c>
      <c r="BE42" s="31">
        <v>52.583333333333336</v>
      </c>
      <c r="BF42" s="31">
        <v>0.72599999999999998</v>
      </c>
      <c r="BG42" s="31">
        <v>0.83899999999999997</v>
      </c>
    </row>
    <row r="43" spans="2:59" ht="18.75" x14ac:dyDescent="0.3">
      <c r="B43" s="105"/>
      <c r="C43" s="154"/>
      <c r="D43" s="154"/>
      <c r="E43" s="176"/>
      <c r="F43" s="154"/>
      <c r="G43" s="154"/>
      <c r="H43" s="154"/>
      <c r="I43" s="154"/>
      <c r="J43" s="154"/>
      <c r="K43" s="154"/>
      <c r="L43" s="154"/>
      <c r="M43" s="154"/>
      <c r="N43" s="165"/>
      <c r="O43" s="155"/>
      <c r="AN43" s="31">
        <v>57.5</v>
      </c>
      <c r="AO43" s="31">
        <v>0.71099999999999997</v>
      </c>
      <c r="BE43" s="31">
        <v>52.666666666666664</v>
      </c>
      <c r="BF43" s="31">
        <v>0.72899999999999998</v>
      </c>
      <c r="BG43" s="31">
        <v>0.84</v>
      </c>
    </row>
    <row r="44" spans="2:59" ht="18.75" x14ac:dyDescent="0.3">
      <c r="B44" s="105"/>
      <c r="C44" s="154"/>
      <c r="D44" s="154"/>
      <c r="E44" s="154"/>
      <c r="F44" s="154"/>
      <c r="G44" s="154"/>
      <c r="H44" s="154"/>
      <c r="I44" s="154"/>
      <c r="J44" s="154"/>
      <c r="K44" s="154"/>
      <c r="L44" s="154"/>
      <c r="M44" s="154"/>
      <c r="N44" s="154"/>
      <c r="O44" s="155"/>
      <c r="AN44" s="31">
        <v>57.583333333333336</v>
      </c>
      <c r="AO44" s="31">
        <v>0.71299999999999997</v>
      </c>
      <c r="BE44" s="31">
        <v>52.75</v>
      </c>
      <c r="BF44" s="31">
        <v>0.73099999999999998</v>
      </c>
      <c r="BG44" s="31">
        <v>0.84199999999999997</v>
      </c>
    </row>
    <row r="45" spans="2:59" ht="19.5" thickBot="1" x14ac:dyDescent="0.35">
      <c r="B45" s="105"/>
      <c r="C45" s="154"/>
      <c r="D45" s="154"/>
      <c r="E45" s="154"/>
      <c r="F45" s="154"/>
      <c r="G45" s="154"/>
      <c r="H45" s="154"/>
      <c r="I45" s="154"/>
      <c r="J45" s="154"/>
      <c r="K45" s="154"/>
      <c r="L45" s="154"/>
      <c r="M45" s="154"/>
      <c r="N45" s="154"/>
      <c r="O45" s="155"/>
      <c r="AN45" s="31">
        <v>57.666666666666664</v>
      </c>
      <c r="AO45" s="31">
        <v>0.71599999999999997</v>
      </c>
      <c r="BE45" s="31">
        <v>52.833333333333336</v>
      </c>
      <c r="BF45" s="31">
        <v>0.73299999999999998</v>
      </c>
      <c r="BG45" s="31">
        <v>0.84399999999999997</v>
      </c>
    </row>
    <row r="46" spans="2:59" ht="20.25" thickTop="1" thickBot="1" x14ac:dyDescent="0.35">
      <c r="B46" s="105"/>
      <c r="C46" s="154" t="s">
        <v>73</v>
      </c>
      <c r="D46" s="154"/>
      <c r="E46" s="166" t="e">
        <f>((N41*20)+N43)/1073100</f>
        <v>#N/A</v>
      </c>
      <c r="F46" s="154"/>
      <c r="G46" s="154"/>
      <c r="H46" s="154"/>
      <c r="I46" s="154"/>
      <c r="J46" s="154"/>
      <c r="K46" s="154"/>
      <c r="L46" s="154"/>
      <c r="M46" s="154"/>
      <c r="N46" s="154"/>
      <c r="O46" s="155"/>
      <c r="R46" s="31" t="e">
        <f>ROUNDDOWN(((E41*30/7)-(E43*9/14))/12,0)</f>
        <v>#N/A</v>
      </c>
      <c r="S46" s="31" t="e">
        <f>ROUNDDOWN(((I41*30/7)-(F43*9/14))/12,0)</f>
        <v>#N/A</v>
      </c>
      <c r="AN46" s="31">
        <v>57.75</v>
      </c>
      <c r="AO46" s="31">
        <v>0.71799999999999997</v>
      </c>
      <c r="BE46" s="31">
        <v>52.916666666666664</v>
      </c>
      <c r="BF46" s="31">
        <v>0.73599999999999999</v>
      </c>
      <c r="BG46" s="31">
        <v>0.84499999999999997</v>
      </c>
    </row>
    <row r="47" spans="2:59" ht="16.5" thickTop="1" thickBot="1" x14ac:dyDescent="0.3">
      <c r="B47" s="163"/>
      <c r="C47" s="158"/>
      <c r="D47" s="158"/>
      <c r="E47" s="158"/>
      <c r="F47" s="158"/>
      <c r="G47" s="158"/>
      <c r="H47" s="158"/>
      <c r="I47" s="158"/>
      <c r="J47" s="158"/>
      <c r="K47" s="158"/>
      <c r="L47" s="158"/>
      <c r="M47" s="158"/>
      <c r="N47" s="158"/>
      <c r="O47" s="159"/>
      <c r="AN47" s="31">
        <v>57.833333333333336</v>
      </c>
      <c r="AO47" s="31">
        <v>0.72099999999999997</v>
      </c>
      <c r="BE47" s="31">
        <v>53</v>
      </c>
      <c r="BF47" s="31">
        <v>0.73799999999999999</v>
      </c>
      <c r="BG47" s="31">
        <v>0.84699999999999998</v>
      </c>
    </row>
    <row r="48" spans="2:59" ht="15.75" thickTop="1" x14ac:dyDescent="0.25">
      <c r="B48" s="160"/>
      <c r="C48" s="152"/>
      <c r="D48" s="152"/>
      <c r="E48" s="152"/>
      <c r="F48" s="152"/>
      <c r="G48" s="152"/>
      <c r="H48" s="152"/>
      <c r="I48" s="152"/>
      <c r="J48" s="152"/>
      <c r="K48" s="152"/>
      <c r="L48" s="152"/>
      <c r="M48" s="152"/>
      <c r="N48" s="152"/>
      <c r="O48" s="153"/>
      <c r="AN48" s="31">
        <v>57.916666666666664</v>
      </c>
      <c r="AO48" s="31">
        <v>0.72299999999999998</v>
      </c>
      <c r="BE48" s="31">
        <v>53.083333333333336</v>
      </c>
      <c r="BF48" s="31">
        <v>0.74</v>
      </c>
      <c r="BG48" s="31">
        <v>0.84899999999999998</v>
      </c>
    </row>
    <row r="49" spans="2:59" ht="21" x14ac:dyDescent="0.35">
      <c r="B49" s="161" t="s">
        <v>98</v>
      </c>
      <c r="C49" s="167"/>
      <c r="D49" s="167"/>
      <c r="E49" s="167"/>
      <c r="F49" s="167"/>
      <c r="G49" s="167"/>
      <c r="H49" s="167"/>
      <c r="I49" s="97"/>
      <c r="J49" s="97"/>
      <c r="K49" s="97"/>
      <c r="L49" s="97"/>
      <c r="M49" s="97"/>
      <c r="N49" s="97"/>
      <c r="O49" s="155"/>
      <c r="R49" s="31" t="e">
        <f>ROUNDDOWN(E53*(20/4.666)/12,0)</f>
        <v>#N/A</v>
      </c>
      <c r="S49" s="31" t="s">
        <v>126</v>
      </c>
      <c r="U49" s="31" t="e">
        <f>R49</f>
        <v>#N/A</v>
      </c>
      <c r="AN49" s="31">
        <v>58</v>
      </c>
      <c r="AO49" s="31">
        <v>0.72599999999999998</v>
      </c>
      <c r="BE49" s="31">
        <v>53.166666666666664</v>
      </c>
      <c r="BF49" s="31">
        <v>0.74299999999999999</v>
      </c>
      <c r="BG49" s="31">
        <v>0.85</v>
      </c>
    </row>
    <row r="50" spans="2:59" x14ac:dyDescent="0.25">
      <c r="B50" s="162"/>
      <c r="C50" s="97"/>
      <c r="D50" s="97"/>
      <c r="E50" s="97"/>
      <c r="F50" s="97"/>
      <c r="G50" s="97"/>
      <c r="H50" s="97"/>
      <c r="I50" s="97"/>
      <c r="J50" s="97"/>
      <c r="K50" s="97"/>
      <c r="L50" s="97"/>
      <c r="M50" s="97"/>
      <c r="N50" s="97"/>
      <c r="O50" s="155"/>
      <c r="AN50" s="31">
        <v>58.083333333333336</v>
      </c>
      <c r="AO50" s="31">
        <v>0.72799999999999998</v>
      </c>
      <c r="BE50" s="31">
        <v>53.25</v>
      </c>
      <c r="BF50" s="31">
        <v>0.745</v>
      </c>
      <c r="BG50" s="31">
        <v>0.85199999999999998</v>
      </c>
    </row>
    <row r="51" spans="2:59" ht="18.75" x14ac:dyDescent="0.3">
      <c r="B51" s="162"/>
      <c r="C51" s="154" t="s">
        <v>140</v>
      </c>
      <c r="D51" s="154"/>
      <c r="E51" s="154"/>
      <c r="F51" s="154"/>
      <c r="G51" s="154" t="s">
        <v>94</v>
      </c>
      <c r="H51" s="154"/>
      <c r="I51" s="154"/>
      <c r="J51" s="154"/>
      <c r="K51" s="154"/>
      <c r="L51" s="154" t="s">
        <v>95</v>
      </c>
      <c r="M51" s="154"/>
      <c r="N51" s="154"/>
      <c r="O51" s="168"/>
      <c r="R51" s="31" t="e">
        <f>ROUNDDOWN(R49,0)*12</f>
        <v>#N/A</v>
      </c>
      <c r="S51" s="31" t="s">
        <v>127</v>
      </c>
      <c r="AN51" s="31">
        <v>58.166666666666664</v>
      </c>
      <c r="AO51" s="31">
        <v>0.73099999999999998</v>
      </c>
      <c r="BE51" s="31">
        <v>53.333333333333336</v>
      </c>
      <c r="BF51" s="31">
        <v>0.748</v>
      </c>
      <c r="BG51" s="31">
        <v>0.85399999999999998</v>
      </c>
    </row>
    <row r="52" spans="2:59" ht="19.5" thickBot="1" x14ac:dyDescent="0.35">
      <c r="B52" s="162"/>
      <c r="C52" s="154"/>
      <c r="D52" s="154"/>
      <c r="E52" s="154"/>
      <c r="F52" s="154"/>
      <c r="G52" s="154"/>
      <c r="H52" s="154"/>
      <c r="I52" s="154"/>
      <c r="J52" s="154"/>
      <c r="K52" s="154"/>
      <c r="L52" s="154"/>
      <c r="M52" s="154"/>
      <c r="N52" s="154"/>
      <c r="O52" s="168"/>
      <c r="AN52" s="31">
        <v>58.25</v>
      </c>
      <c r="AO52" s="31">
        <v>0.73299999999999998</v>
      </c>
      <c r="BE52" s="31">
        <v>53.416666666666664</v>
      </c>
      <c r="BF52" s="31">
        <v>0.75</v>
      </c>
      <c r="BG52" s="31">
        <v>0.85599999999999998</v>
      </c>
    </row>
    <row r="53" spans="2:59" ht="20.25" thickTop="1" thickBot="1" x14ac:dyDescent="0.35">
      <c r="B53" s="162"/>
      <c r="C53" s="154" t="s">
        <v>96</v>
      </c>
      <c r="D53" s="154"/>
      <c r="E53" s="164" t="e">
        <f>E41-R46</f>
        <v>#N/A</v>
      </c>
      <c r="F53" s="154"/>
      <c r="G53" s="154" t="s">
        <v>96</v>
      </c>
      <c r="H53" s="154"/>
      <c r="I53" s="164" t="e">
        <f>Q62</f>
        <v>#N/A</v>
      </c>
      <c r="J53" s="154"/>
      <c r="K53" s="154"/>
      <c r="L53" s="154" t="s">
        <v>96</v>
      </c>
      <c r="M53" s="154"/>
      <c r="N53" s="164" t="e">
        <f>E53+I53</f>
        <v>#N/A</v>
      </c>
      <c r="O53" s="168"/>
      <c r="AN53" s="31">
        <v>58.333333333333336</v>
      </c>
      <c r="AO53" s="31">
        <v>0.73599999999999999</v>
      </c>
      <c r="BE53" s="31">
        <v>53.5</v>
      </c>
      <c r="BF53" s="31">
        <v>0.753</v>
      </c>
      <c r="BG53" s="31">
        <v>0.85699999999999998</v>
      </c>
    </row>
    <row r="54" spans="2:59" ht="20.25" thickTop="1" thickBot="1" x14ac:dyDescent="0.35">
      <c r="B54" s="162"/>
      <c r="C54" s="154"/>
      <c r="D54" s="154"/>
      <c r="E54" s="165"/>
      <c r="F54" s="154"/>
      <c r="G54" s="154"/>
      <c r="H54" s="154"/>
      <c r="I54" s="165"/>
      <c r="J54" s="154"/>
      <c r="K54" s="154"/>
      <c r="L54" s="154"/>
      <c r="M54" s="154"/>
      <c r="N54" s="165"/>
      <c r="O54" s="168"/>
      <c r="AN54" s="31">
        <v>58.416666666666664</v>
      </c>
      <c r="AO54" s="31">
        <v>0.73899999999999999</v>
      </c>
      <c r="BE54" s="31">
        <v>53.583333333333336</v>
      </c>
      <c r="BF54" s="31">
        <v>0.755</v>
      </c>
      <c r="BG54" s="31">
        <v>0.85899999999999999</v>
      </c>
    </row>
    <row r="55" spans="2:59" ht="20.25" thickTop="1" thickBot="1" x14ac:dyDescent="0.35">
      <c r="B55" s="162"/>
      <c r="C55" s="154" t="s">
        <v>97</v>
      </c>
      <c r="D55" s="154"/>
      <c r="E55" s="164" t="e">
        <f>R46*12</f>
        <v>#N/A</v>
      </c>
      <c r="F55" s="154"/>
      <c r="G55" s="154" t="s">
        <v>97</v>
      </c>
      <c r="H55" s="154"/>
      <c r="I55" s="164" t="e">
        <f>Q61</f>
        <v>#N/A</v>
      </c>
      <c r="J55" s="154"/>
      <c r="K55" s="154"/>
      <c r="L55" s="154" t="s">
        <v>97</v>
      </c>
      <c r="M55" s="154"/>
      <c r="N55" s="164" t="e">
        <f>E55+I55</f>
        <v>#N/A</v>
      </c>
      <c r="O55" s="168"/>
      <c r="AN55" s="31">
        <v>58.5</v>
      </c>
      <c r="AO55" s="31">
        <v>0.74099999999999999</v>
      </c>
      <c r="BE55" s="31">
        <v>53.666666666666664</v>
      </c>
      <c r="BF55" s="31">
        <v>0.75800000000000001</v>
      </c>
      <c r="BG55" s="31">
        <v>0.86099999999999999</v>
      </c>
    </row>
    <row r="56" spans="2:59" ht="19.5" thickTop="1" x14ac:dyDescent="0.3">
      <c r="B56" s="162"/>
      <c r="C56" s="154"/>
      <c r="D56" s="154"/>
      <c r="E56" s="154"/>
      <c r="F56" s="154"/>
      <c r="G56" s="154"/>
      <c r="H56" s="154"/>
      <c r="I56" s="154"/>
      <c r="J56" s="154"/>
      <c r="K56" s="154"/>
      <c r="L56" s="154"/>
      <c r="M56" s="154"/>
      <c r="N56" s="154"/>
      <c r="O56" s="168"/>
      <c r="AN56" s="31">
        <v>58.583333333333336</v>
      </c>
      <c r="AO56" s="31">
        <v>0.74399999999999999</v>
      </c>
      <c r="BE56" s="31">
        <v>53.75</v>
      </c>
      <c r="BF56" s="31">
        <v>0.76</v>
      </c>
      <c r="BG56" s="31">
        <v>0.86199999999999999</v>
      </c>
    </row>
    <row r="57" spans="2:59" ht="19.5" thickBot="1" x14ac:dyDescent="0.35">
      <c r="B57" s="162"/>
      <c r="C57" s="154"/>
      <c r="D57" s="154"/>
      <c r="E57" s="154"/>
      <c r="F57" s="154"/>
      <c r="G57" s="154"/>
      <c r="H57" s="154"/>
      <c r="I57" s="154"/>
      <c r="J57" s="154"/>
      <c r="K57" s="154"/>
      <c r="L57" s="154"/>
      <c r="M57" s="154"/>
      <c r="N57" s="154"/>
      <c r="O57" s="168"/>
      <c r="AN57" s="31">
        <v>58.666666666666664</v>
      </c>
      <c r="AO57" s="31">
        <v>0.746</v>
      </c>
      <c r="BE57" s="31">
        <v>53.833333333333336</v>
      </c>
      <c r="BF57" s="31">
        <v>0.76300000000000001</v>
      </c>
      <c r="BG57" s="31">
        <v>0.86399999999999999</v>
      </c>
    </row>
    <row r="58" spans="2:59" ht="20.25" thickTop="1" thickBot="1" x14ac:dyDescent="0.35">
      <c r="B58" s="162"/>
      <c r="C58" s="154" t="s">
        <v>73</v>
      </c>
      <c r="D58" s="154"/>
      <c r="E58" s="166" t="e">
        <f>((N53*20)+N55)/1073100</f>
        <v>#N/A</v>
      </c>
      <c r="F58" s="154"/>
      <c r="G58" s="154"/>
      <c r="H58" s="154"/>
      <c r="I58" s="154"/>
      <c r="J58" s="154"/>
      <c r="K58" s="154"/>
      <c r="L58" s="154"/>
      <c r="M58" s="154"/>
      <c r="N58" s="154"/>
      <c r="O58" s="168"/>
      <c r="AN58" s="31">
        <v>58.75</v>
      </c>
      <c r="AO58" s="31">
        <v>0.749</v>
      </c>
      <c r="BE58" s="31">
        <v>53.916666666666664</v>
      </c>
      <c r="BF58" s="31">
        <v>0.76500000000000001</v>
      </c>
      <c r="BG58" s="31">
        <v>0.86599999999999999</v>
      </c>
    </row>
    <row r="59" spans="2:59" ht="20.25" thickTop="1" thickBot="1" x14ac:dyDescent="0.35">
      <c r="B59" s="163"/>
      <c r="C59" s="157"/>
      <c r="D59" s="157"/>
      <c r="E59" s="157"/>
      <c r="F59" s="157"/>
      <c r="G59" s="157"/>
      <c r="H59" s="157"/>
      <c r="I59" s="157"/>
      <c r="J59" s="157"/>
      <c r="K59" s="157"/>
      <c r="L59" s="157"/>
      <c r="M59" s="157"/>
      <c r="N59" s="157"/>
      <c r="O59" s="169"/>
      <c r="R59" s="31">
        <f>G68/12</f>
        <v>0</v>
      </c>
      <c r="AN59" s="31">
        <v>58.833333333333336</v>
      </c>
      <c r="AO59" s="31">
        <v>0.752</v>
      </c>
      <c r="BE59" s="31">
        <v>54</v>
      </c>
      <c r="BF59" s="31">
        <v>0.76800000000000002</v>
      </c>
      <c r="BG59" s="31">
        <v>0.86699999999999999</v>
      </c>
    </row>
    <row r="60" spans="2:59" ht="19.5" thickTop="1" x14ac:dyDescent="0.3">
      <c r="B60" s="160"/>
      <c r="C60" s="170"/>
      <c r="D60" s="170"/>
      <c r="E60" s="170"/>
      <c r="F60" s="170"/>
      <c r="G60" s="170"/>
      <c r="H60" s="170"/>
      <c r="I60" s="170"/>
      <c r="J60" s="170"/>
      <c r="K60" s="170"/>
      <c r="L60" s="170"/>
      <c r="M60" s="170"/>
      <c r="N60" s="170"/>
      <c r="O60" s="171"/>
      <c r="Q60" s="31" t="e">
        <f>ROUNDDOWN(I41*(20/4.666)/12,0)</f>
        <v>#N/A</v>
      </c>
      <c r="AN60" s="31">
        <v>58.916666666666664</v>
      </c>
      <c r="AO60" s="31">
        <v>0.754</v>
      </c>
      <c r="BE60" s="31">
        <v>54.083333333333336</v>
      </c>
      <c r="BF60" s="31">
        <v>0.77100000000000002</v>
      </c>
      <c r="BG60" s="31">
        <v>0.86899999999999999</v>
      </c>
    </row>
    <row r="61" spans="2:59" ht="21" x14ac:dyDescent="0.35">
      <c r="B61" s="161" t="s">
        <v>99</v>
      </c>
      <c r="C61" s="167"/>
      <c r="D61" s="167"/>
      <c r="E61" s="167"/>
      <c r="F61" s="167"/>
      <c r="G61" s="167"/>
      <c r="H61" s="167"/>
      <c r="I61" s="154"/>
      <c r="J61" s="154"/>
      <c r="K61" s="154"/>
      <c r="L61" s="154"/>
      <c r="M61" s="154"/>
      <c r="N61" s="154"/>
      <c r="O61" s="168"/>
      <c r="Q61" s="31" t="e">
        <f>ROUNDDOWN(Q60,0)*12</f>
        <v>#N/A</v>
      </c>
      <c r="AN61" s="31">
        <v>59</v>
      </c>
      <c r="AO61" s="31">
        <v>0.75700000000000001</v>
      </c>
      <c r="BE61" s="31">
        <v>54.166666666666664</v>
      </c>
      <c r="BF61" s="31">
        <v>0.77300000000000002</v>
      </c>
      <c r="BG61" s="31">
        <v>0.871</v>
      </c>
    </row>
    <row r="62" spans="2:59" ht="18.75" x14ac:dyDescent="0.3">
      <c r="B62" s="162"/>
      <c r="C62" s="154"/>
      <c r="D62" s="154"/>
      <c r="E62" s="154"/>
      <c r="F62" s="154"/>
      <c r="G62" s="154"/>
      <c r="H62" s="154"/>
      <c r="I62" s="154"/>
      <c r="J62" s="154"/>
      <c r="K62" s="154"/>
      <c r="L62" s="154"/>
      <c r="M62" s="154"/>
      <c r="N62" s="154"/>
      <c r="O62" s="168"/>
      <c r="Q62" s="31" t="e">
        <f>I41-Q60</f>
        <v>#N/A</v>
      </c>
      <c r="AN62" s="31">
        <v>59.083333333333336</v>
      </c>
      <c r="AO62" s="31">
        <v>0.76</v>
      </c>
      <c r="BE62" s="31">
        <v>54.25</v>
      </c>
      <c r="BF62" s="31">
        <v>0.77600000000000002</v>
      </c>
      <c r="BG62" s="31">
        <v>0.873</v>
      </c>
    </row>
    <row r="63" spans="2:59" ht="18.75" x14ac:dyDescent="0.3">
      <c r="B63" s="110" t="s">
        <v>141</v>
      </c>
      <c r="C63" s="59"/>
      <c r="D63" s="59"/>
      <c r="E63" s="59"/>
      <c r="F63" s="59"/>
      <c r="G63" s="59"/>
      <c r="H63" s="59"/>
      <c r="I63" s="59"/>
      <c r="J63" s="59"/>
      <c r="K63" s="59"/>
      <c r="L63" s="59"/>
      <c r="M63" s="59"/>
      <c r="N63" s="59"/>
      <c r="O63" s="168"/>
      <c r="AN63" s="31">
        <v>59.166666666666664</v>
      </c>
      <c r="AO63" s="31">
        <v>0.76200000000000001</v>
      </c>
      <c r="BE63" s="31">
        <v>54.333333333333336</v>
      </c>
      <c r="BF63" s="31">
        <v>0.77900000000000003</v>
      </c>
      <c r="BG63" s="31">
        <v>0.874</v>
      </c>
    </row>
    <row r="64" spans="2:59" ht="18.75" x14ac:dyDescent="0.3">
      <c r="B64" s="110" t="s">
        <v>100</v>
      </c>
      <c r="C64" s="59"/>
      <c r="D64" s="59"/>
      <c r="E64" s="59"/>
      <c r="F64" s="59"/>
      <c r="G64" s="59"/>
      <c r="H64" s="59"/>
      <c r="I64" s="59"/>
      <c r="J64" s="59"/>
      <c r="K64" s="59"/>
      <c r="L64" s="59"/>
      <c r="M64" s="59"/>
      <c r="N64" s="59"/>
      <c r="O64" s="168"/>
      <c r="AN64" s="31">
        <v>59.25</v>
      </c>
      <c r="AO64" s="31">
        <v>0.76500000000000001</v>
      </c>
      <c r="BE64" s="31">
        <v>54.416666666666664</v>
      </c>
      <c r="BF64" s="31">
        <v>0.78100000000000003</v>
      </c>
      <c r="BG64" s="31">
        <v>0.876</v>
      </c>
    </row>
    <row r="65" spans="2:59" ht="18.75" x14ac:dyDescent="0.3">
      <c r="B65" s="162"/>
      <c r="C65" s="154"/>
      <c r="D65" s="154"/>
      <c r="E65" s="154"/>
      <c r="F65" s="154"/>
      <c r="G65" s="154"/>
      <c r="H65" s="154"/>
      <c r="I65" s="154"/>
      <c r="J65" s="154"/>
      <c r="K65" s="154"/>
      <c r="L65" s="154"/>
      <c r="M65" s="154"/>
      <c r="N65" s="154"/>
      <c r="O65" s="168"/>
      <c r="AN65" s="31">
        <v>59.333333333333336</v>
      </c>
      <c r="AO65" s="31">
        <v>0.76800000000000002</v>
      </c>
      <c r="BE65" s="31">
        <v>54.5</v>
      </c>
      <c r="BF65" s="31">
        <v>0.78400000000000003</v>
      </c>
      <c r="BG65" s="31">
        <v>0.878</v>
      </c>
    </row>
    <row r="66" spans="2:59" ht="18.75" x14ac:dyDescent="0.3">
      <c r="B66" s="162"/>
      <c r="C66" s="154"/>
      <c r="D66" s="154"/>
      <c r="E66" s="154"/>
      <c r="F66" s="154"/>
      <c r="G66" s="154"/>
      <c r="H66" s="154"/>
      <c r="I66" s="154"/>
      <c r="J66" s="154"/>
      <c r="K66" s="154"/>
      <c r="L66" s="154"/>
      <c r="M66" s="154"/>
      <c r="N66" s="154"/>
      <c r="O66" s="168"/>
      <c r="AN66" s="31">
        <v>59.416666666666664</v>
      </c>
      <c r="AO66" s="31">
        <v>0.77100000000000002</v>
      </c>
      <c r="BE66" s="31">
        <v>54.583333333333336</v>
      </c>
      <c r="BF66" s="31">
        <v>0.78700000000000003</v>
      </c>
      <c r="BG66" s="31">
        <v>0.88</v>
      </c>
    </row>
    <row r="67" spans="2:59" ht="19.5" thickBot="1" x14ac:dyDescent="0.35">
      <c r="B67" s="162"/>
      <c r="C67" s="154" t="s">
        <v>101</v>
      </c>
      <c r="D67" s="154"/>
      <c r="E67" s="154"/>
      <c r="F67" s="154"/>
      <c r="G67" s="154" t="s">
        <v>140</v>
      </c>
      <c r="H67" s="154"/>
      <c r="I67" s="154" t="s">
        <v>94</v>
      </c>
      <c r="J67" s="154"/>
      <c r="K67" s="154"/>
      <c r="L67" s="154"/>
      <c r="M67" s="154"/>
      <c r="N67" s="154"/>
      <c r="O67" s="168"/>
      <c r="AN67" s="31">
        <v>59.5</v>
      </c>
      <c r="AO67" s="31">
        <v>0.77400000000000002</v>
      </c>
      <c r="BE67" s="31">
        <v>54.666666666666664</v>
      </c>
      <c r="BF67" s="31">
        <v>0.78900000000000003</v>
      </c>
      <c r="BG67" s="31">
        <v>0.88100000000000001</v>
      </c>
    </row>
    <row r="68" spans="2:59" ht="20.25" thickTop="1" thickBot="1" x14ac:dyDescent="0.35">
      <c r="B68" s="162"/>
      <c r="C68" s="154"/>
      <c r="D68" s="154"/>
      <c r="E68" s="154"/>
      <c r="F68" s="154"/>
      <c r="G68" s="174">
        <v>0</v>
      </c>
      <c r="H68" s="154"/>
      <c r="I68" s="174">
        <v>0</v>
      </c>
      <c r="J68" s="154"/>
      <c r="K68" s="154"/>
      <c r="L68" s="154"/>
      <c r="M68" s="154"/>
      <c r="N68" s="154"/>
      <c r="O68" s="168"/>
      <c r="AN68" s="31">
        <v>59.583333333333336</v>
      </c>
      <c r="AO68" s="31">
        <v>0.77600000000000002</v>
      </c>
      <c r="BE68" s="31">
        <v>54.75</v>
      </c>
      <c r="BF68" s="31">
        <v>0.79200000000000004</v>
      </c>
      <c r="BG68" s="31">
        <v>0.88300000000000001</v>
      </c>
    </row>
    <row r="69" spans="2:59" ht="19.5" thickTop="1" x14ac:dyDescent="0.3">
      <c r="B69" s="162"/>
      <c r="C69" s="154"/>
      <c r="D69" s="154"/>
      <c r="E69" s="154"/>
      <c r="F69" s="154"/>
      <c r="G69" s="154" t="e">
        <f>IF(G68&gt;R46*12,"Exceeds Maximum Permitted",".")</f>
        <v>#N/A</v>
      </c>
      <c r="H69" s="154"/>
      <c r="I69" s="154" t="e">
        <f>IF(I68&gt;Q61,"Exceeds Maximum Permitted",".")</f>
        <v>#N/A</v>
      </c>
      <c r="J69" s="154"/>
      <c r="K69" s="154"/>
      <c r="L69" s="154"/>
      <c r="M69" s="154"/>
      <c r="N69" s="154"/>
      <c r="O69" s="168"/>
      <c r="AN69" s="31">
        <v>59.666666666666664</v>
      </c>
      <c r="AO69" s="31">
        <v>0.77900000000000003</v>
      </c>
      <c r="BE69" s="31">
        <v>54.833333333333336</v>
      </c>
      <c r="BF69" s="31">
        <v>0.79500000000000004</v>
      </c>
      <c r="BG69" s="31">
        <v>0.88500000000000001</v>
      </c>
    </row>
    <row r="70" spans="2:59" ht="18.75" x14ac:dyDescent="0.3">
      <c r="B70" s="162"/>
      <c r="C70" s="154"/>
      <c r="D70" s="154"/>
      <c r="E70" s="154"/>
      <c r="F70" s="154"/>
      <c r="G70" s="154"/>
      <c r="H70" s="154"/>
      <c r="I70" s="154"/>
      <c r="J70" s="154"/>
      <c r="K70" s="154"/>
      <c r="L70" s="154"/>
      <c r="M70" s="154"/>
      <c r="N70" s="154"/>
      <c r="O70" s="168"/>
      <c r="AN70" s="31">
        <v>59.75</v>
      </c>
      <c r="AO70" s="31">
        <v>0.78200000000000003</v>
      </c>
      <c r="BE70" s="31">
        <v>54.916666666666664</v>
      </c>
      <c r="BF70" s="31">
        <v>0.79800000000000004</v>
      </c>
      <c r="BG70" s="31">
        <v>0.88600000000000001</v>
      </c>
    </row>
    <row r="71" spans="2:59" ht="18.75" x14ac:dyDescent="0.3">
      <c r="B71" s="162"/>
      <c r="C71" s="154" t="s">
        <v>140</v>
      </c>
      <c r="D71" s="154"/>
      <c r="E71" s="154"/>
      <c r="F71" s="154"/>
      <c r="G71" s="154" t="s">
        <v>94</v>
      </c>
      <c r="H71" s="154"/>
      <c r="I71" s="154"/>
      <c r="J71" s="154"/>
      <c r="K71" s="154"/>
      <c r="L71" s="154" t="s">
        <v>95</v>
      </c>
      <c r="M71" s="154"/>
      <c r="N71" s="154"/>
      <c r="O71" s="168"/>
      <c r="AN71" s="31">
        <v>59.833333333333336</v>
      </c>
      <c r="AO71" s="31">
        <v>0.78500000000000003</v>
      </c>
      <c r="BE71" s="31">
        <v>55</v>
      </c>
      <c r="BF71" s="31">
        <v>0.8</v>
      </c>
      <c r="BG71" s="31">
        <v>0.88800000000000001</v>
      </c>
    </row>
    <row r="72" spans="2:59" ht="19.5" thickBot="1" x14ac:dyDescent="0.35">
      <c r="B72" s="162"/>
      <c r="C72" s="154"/>
      <c r="D72" s="154"/>
      <c r="E72" s="154"/>
      <c r="F72" s="154"/>
      <c r="G72" s="154"/>
      <c r="H72" s="154"/>
      <c r="I72" s="154"/>
      <c r="J72" s="154"/>
      <c r="K72" s="154"/>
      <c r="L72" s="154"/>
      <c r="M72" s="154"/>
      <c r="N72" s="154"/>
      <c r="O72" s="168"/>
      <c r="R72" s="31">
        <f>I68/12</f>
        <v>0</v>
      </c>
      <c r="AN72" s="31">
        <v>59.916666666666664</v>
      </c>
      <c r="AO72" s="31">
        <v>0.78800000000000003</v>
      </c>
      <c r="BE72" s="31">
        <v>55.083333333333336</v>
      </c>
      <c r="BF72" s="31">
        <v>0.80300000000000005</v>
      </c>
      <c r="BG72" s="31">
        <v>0.89</v>
      </c>
    </row>
    <row r="73" spans="2:59" ht="20.25" thickTop="1" thickBot="1" x14ac:dyDescent="0.35">
      <c r="B73" s="162"/>
      <c r="C73" s="154" t="s">
        <v>96</v>
      </c>
      <c r="D73" s="154"/>
      <c r="E73" s="164" t="e">
        <f>IF(G69=".",E41-R59,"Invalid")</f>
        <v>#N/A</v>
      </c>
      <c r="F73" s="154"/>
      <c r="G73" s="154" t="s">
        <v>96</v>
      </c>
      <c r="H73" s="154"/>
      <c r="I73" s="164" t="e">
        <f>IF(G69=".",I41-R72,"Invalid")</f>
        <v>#N/A</v>
      </c>
      <c r="J73" s="154"/>
      <c r="K73" s="154"/>
      <c r="L73" s="154" t="s">
        <v>96</v>
      </c>
      <c r="M73" s="154"/>
      <c r="N73" s="164" t="e">
        <f>E73+I73</f>
        <v>#N/A</v>
      </c>
      <c r="O73" s="168"/>
      <c r="AN73" s="31">
        <v>60</v>
      </c>
      <c r="AO73" s="186">
        <v>0.79</v>
      </c>
      <c r="BE73" s="31">
        <v>55.166666666666664</v>
      </c>
      <c r="BF73" s="31">
        <v>0.80600000000000005</v>
      </c>
      <c r="BG73" s="31">
        <v>0.89200000000000002</v>
      </c>
    </row>
    <row r="74" spans="2:59" ht="20.25" thickTop="1" thickBot="1" x14ac:dyDescent="0.35">
      <c r="B74" s="162"/>
      <c r="C74" s="154"/>
      <c r="D74" s="154"/>
      <c r="E74" s="165"/>
      <c r="F74" s="154"/>
      <c r="G74" s="154"/>
      <c r="H74" s="154"/>
      <c r="I74" s="165"/>
      <c r="J74" s="154"/>
      <c r="K74" s="154"/>
      <c r="L74" s="154"/>
      <c r="M74" s="154"/>
      <c r="N74" s="165"/>
      <c r="O74" s="168"/>
      <c r="AN74" s="31">
        <v>60.083333333333336</v>
      </c>
      <c r="AO74" s="186">
        <v>0.79300000000000004</v>
      </c>
      <c r="BE74" s="31">
        <v>55.25</v>
      </c>
      <c r="BF74" s="31">
        <v>0.80900000000000005</v>
      </c>
      <c r="BG74" s="31">
        <v>0.89400000000000002</v>
      </c>
    </row>
    <row r="75" spans="2:59" ht="20.25" thickTop="1" thickBot="1" x14ac:dyDescent="0.35">
      <c r="B75" s="162"/>
      <c r="C75" s="154" t="s">
        <v>97</v>
      </c>
      <c r="D75" s="154"/>
      <c r="E75" s="164" t="e">
        <f>IF(G69=".",E43+(R59*12),"Invalid")</f>
        <v>#N/A</v>
      </c>
      <c r="F75" s="154"/>
      <c r="G75" s="154" t="s">
        <v>97</v>
      </c>
      <c r="H75" s="154"/>
      <c r="I75" s="164" t="e">
        <f>IF(I69=".",I68,"Invalid")</f>
        <v>#N/A</v>
      </c>
      <c r="J75" s="154"/>
      <c r="K75" s="154"/>
      <c r="L75" s="154" t="s">
        <v>97</v>
      </c>
      <c r="M75" s="154"/>
      <c r="N75" s="164" t="e">
        <f>E75+I75</f>
        <v>#N/A</v>
      </c>
      <c r="O75" s="168"/>
      <c r="AN75" s="31">
        <v>60.166666666666664</v>
      </c>
      <c r="AO75" s="186">
        <v>0.79600000000000004</v>
      </c>
      <c r="BE75" s="31">
        <v>55.333333333333336</v>
      </c>
      <c r="BF75" s="31">
        <v>0.81200000000000006</v>
      </c>
      <c r="BG75" s="31">
        <v>0.89500000000000002</v>
      </c>
    </row>
    <row r="76" spans="2:59" ht="19.5" thickTop="1" x14ac:dyDescent="0.3">
      <c r="B76" s="162"/>
      <c r="C76" s="154"/>
      <c r="D76" s="154"/>
      <c r="E76" s="154"/>
      <c r="F76" s="154"/>
      <c r="G76" s="154"/>
      <c r="H76" s="154"/>
      <c r="I76" s="154"/>
      <c r="J76" s="154"/>
      <c r="K76" s="154"/>
      <c r="L76" s="154"/>
      <c r="M76" s="154"/>
      <c r="N76" s="154"/>
      <c r="O76" s="168"/>
      <c r="AN76" s="31">
        <v>60.25</v>
      </c>
      <c r="AO76" s="186">
        <v>0.79900000000000004</v>
      </c>
      <c r="BE76" s="31">
        <v>55.416666666666664</v>
      </c>
      <c r="BF76" s="31">
        <v>0.81499999999999995</v>
      </c>
      <c r="BG76" s="31">
        <v>0.89700000000000002</v>
      </c>
    </row>
    <row r="77" spans="2:59" ht="19.5" thickBot="1" x14ac:dyDescent="0.35">
      <c r="B77" s="162"/>
      <c r="C77" s="154"/>
      <c r="D77" s="154"/>
      <c r="E77" s="154"/>
      <c r="F77" s="154"/>
      <c r="G77" s="154"/>
      <c r="H77" s="154"/>
      <c r="I77" s="154"/>
      <c r="J77" s="154"/>
      <c r="K77" s="154"/>
      <c r="L77" s="154"/>
      <c r="M77" s="154"/>
      <c r="N77" s="154"/>
      <c r="O77" s="168"/>
      <c r="AN77" s="31">
        <v>60.333333333333336</v>
      </c>
      <c r="AO77" s="186">
        <v>0.80200000000000005</v>
      </c>
      <c r="BE77" s="31">
        <v>55.5</v>
      </c>
      <c r="BF77" s="31">
        <v>0.81799999999999995</v>
      </c>
      <c r="BG77" s="31">
        <v>0.89900000000000002</v>
      </c>
    </row>
    <row r="78" spans="2:59" ht="20.25" thickTop="1" thickBot="1" x14ac:dyDescent="0.35">
      <c r="B78" s="106"/>
      <c r="C78" s="154" t="s">
        <v>102</v>
      </c>
      <c r="D78" s="154"/>
      <c r="E78" s="166" t="e">
        <f>((N73*20)+N75)/1073100</f>
        <v>#N/A</v>
      </c>
      <c r="F78" s="13"/>
      <c r="G78" s="13"/>
      <c r="H78" s="13"/>
      <c r="I78" s="13"/>
      <c r="J78" s="13"/>
      <c r="K78" s="13"/>
      <c r="L78" s="13"/>
      <c r="M78" s="13"/>
      <c r="N78" s="13"/>
      <c r="O78" s="172"/>
      <c r="AN78" s="31">
        <v>60.416666666666664</v>
      </c>
      <c r="AO78" s="186">
        <v>0.80500000000000005</v>
      </c>
      <c r="BE78" s="31">
        <v>55.583333333333336</v>
      </c>
      <c r="BF78" s="31">
        <v>0.82099999999999995</v>
      </c>
      <c r="BG78" s="31">
        <v>0.90100000000000002</v>
      </c>
    </row>
    <row r="79" spans="2:59" ht="15.75" thickTop="1" x14ac:dyDescent="0.25">
      <c r="B79" s="106"/>
      <c r="C79" s="13"/>
      <c r="D79" s="13"/>
      <c r="E79" s="13"/>
      <c r="F79" s="13"/>
      <c r="G79" s="13"/>
      <c r="H79" s="13"/>
      <c r="I79" s="13"/>
      <c r="J79" s="13"/>
      <c r="K79" s="13"/>
      <c r="L79" s="13"/>
      <c r="M79" s="13"/>
      <c r="N79" s="13"/>
      <c r="O79" s="104"/>
      <c r="AN79" s="31">
        <v>60.5</v>
      </c>
      <c r="AO79" s="186">
        <v>0.80800000000000005</v>
      </c>
      <c r="BE79" s="31">
        <v>55.666666666666664</v>
      </c>
      <c r="BF79" s="31">
        <v>0.82399999999999995</v>
      </c>
      <c r="BG79" s="31">
        <v>0.90200000000000002</v>
      </c>
    </row>
    <row r="80" spans="2:59" ht="15.75" thickBot="1" x14ac:dyDescent="0.3">
      <c r="B80" s="111"/>
      <c r="C80" s="112"/>
      <c r="D80" s="112"/>
      <c r="E80" s="112"/>
      <c r="F80" s="112"/>
      <c r="G80" s="112"/>
      <c r="H80" s="112"/>
      <c r="I80" s="112"/>
      <c r="J80" s="112"/>
      <c r="K80" s="112"/>
      <c r="L80" s="112"/>
      <c r="M80" s="112"/>
      <c r="N80" s="112"/>
      <c r="O80" s="113"/>
      <c r="AN80" s="31">
        <v>60.583333333333336</v>
      </c>
      <c r="AO80" s="186">
        <v>0.81100000000000005</v>
      </c>
      <c r="BE80" s="31">
        <v>55.75</v>
      </c>
      <c r="BF80" s="31">
        <v>0.82599999999999996</v>
      </c>
      <c r="BG80" s="31">
        <v>0.90400000000000003</v>
      </c>
    </row>
    <row r="81" spans="40:59" s="181" customFormat="1" ht="15.75" thickTop="1" x14ac:dyDescent="0.25">
      <c r="AN81" s="181">
        <v>60.666666666666664</v>
      </c>
      <c r="AO81" s="186">
        <v>0.81399999999999995</v>
      </c>
      <c r="BE81" s="181">
        <v>55.833333333333336</v>
      </c>
      <c r="BF81" s="181">
        <v>0.82899999999999996</v>
      </c>
      <c r="BG81" s="181">
        <v>0.90600000000000003</v>
      </c>
    </row>
    <row r="82" spans="40:59" s="181" customFormat="1" x14ac:dyDescent="0.25">
      <c r="AN82" s="181">
        <v>60.75</v>
      </c>
      <c r="AO82" s="186">
        <v>0.81699999999999995</v>
      </c>
      <c r="BE82" s="181">
        <v>55.916666666666664</v>
      </c>
      <c r="BF82" s="181">
        <v>0.83199999999999996</v>
      </c>
      <c r="BG82" s="181">
        <v>0.90800000000000003</v>
      </c>
    </row>
    <row r="83" spans="40:59" s="181" customFormat="1" x14ac:dyDescent="0.25">
      <c r="AN83" s="181">
        <v>60.833333333333336</v>
      </c>
      <c r="AO83" s="186">
        <v>0.82</v>
      </c>
      <c r="BE83" s="181">
        <v>56</v>
      </c>
      <c r="BF83" s="181">
        <v>0.83499999999999996</v>
      </c>
      <c r="BG83" s="181">
        <v>0.90900000000000003</v>
      </c>
    </row>
    <row r="84" spans="40:59" s="181" customFormat="1" x14ac:dyDescent="0.25">
      <c r="AN84" s="181">
        <v>60.916666666666664</v>
      </c>
      <c r="AO84" s="186">
        <v>0.82299999999999995</v>
      </c>
      <c r="BE84" s="181">
        <v>56.083333333333336</v>
      </c>
      <c r="BF84" s="181">
        <v>0.83799999999999997</v>
      </c>
      <c r="BG84" s="181">
        <v>0.91100000000000003</v>
      </c>
    </row>
    <row r="85" spans="40:59" s="181" customFormat="1" x14ac:dyDescent="0.25">
      <c r="AN85" s="181">
        <v>61</v>
      </c>
      <c r="AO85" s="186">
        <v>0.82699999999999996</v>
      </c>
      <c r="BE85" s="181">
        <v>56.166666666666664</v>
      </c>
      <c r="BF85" s="181">
        <v>0.84099999999999997</v>
      </c>
      <c r="BG85" s="181">
        <v>0.91300000000000003</v>
      </c>
    </row>
    <row r="86" spans="40:59" s="181" customFormat="1" x14ac:dyDescent="0.25">
      <c r="AN86" s="181">
        <v>61.083333333333336</v>
      </c>
      <c r="AO86" s="186">
        <v>0.83</v>
      </c>
      <c r="BE86" s="181">
        <v>56.25</v>
      </c>
      <c r="BF86" s="181">
        <v>0.84399999999999997</v>
      </c>
      <c r="BG86" s="181">
        <v>0.91500000000000004</v>
      </c>
    </row>
    <row r="87" spans="40:59" s="181" customFormat="1" x14ac:dyDescent="0.25">
      <c r="AN87" s="181">
        <v>61.166666666666664</v>
      </c>
      <c r="AO87" s="186">
        <v>0.83299999999999996</v>
      </c>
      <c r="BE87" s="181">
        <v>56.333333333333336</v>
      </c>
      <c r="BF87" s="181">
        <v>0.84799999999999998</v>
      </c>
      <c r="BG87" s="181">
        <v>0.91700000000000004</v>
      </c>
    </row>
    <row r="88" spans="40:59" s="181" customFormat="1" x14ac:dyDescent="0.25">
      <c r="AN88" s="181">
        <v>61.25</v>
      </c>
      <c r="AO88" s="186">
        <v>0.83599999999999997</v>
      </c>
      <c r="BE88" s="181">
        <v>56.416666666666664</v>
      </c>
      <c r="BF88" s="181">
        <v>0.85099999999999998</v>
      </c>
      <c r="BG88" s="181">
        <v>0.91900000000000004</v>
      </c>
    </row>
    <row r="89" spans="40:59" s="181" customFormat="1" x14ac:dyDescent="0.25">
      <c r="AN89" s="181">
        <v>61.333333333333336</v>
      </c>
      <c r="AO89" s="186">
        <v>0.83899999999999997</v>
      </c>
      <c r="BE89" s="181">
        <v>56.5</v>
      </c>
      <c r="BF89" s="181">
        <v>0.85399999999999998</v>
      </c>
      <c r="BG89" s="181">
        <v>0.92</v>
      </c>
    </row>
    <row r="90" spans="40:59" s="181" customFormat="1" x14ac:dyDescent="0.25">
      <c r="AN90" s="181">
        <v>61.416666666666664</v>
      </c>
      <c r="AO90" s="186">
        <v>0.84299999999999997</v>
      </c>
      <c r="BE90" s="181">
        <v>56.583333333333336</v>
      </c>
      <c r="BF90" s="181">
        <v>0.85699999999999998</v>
      </c>
      <c r="BG90" s="181">
        <v>0.92200000000000004</v>
      </c>
    </row>
    <row r="91" spans="40:59" s="181" customFormat="1" x14ac:dyDescent="0.25">
      <c r="AN91" s="181">
        <v>61.5</v>
      </c>
      <c r="AO91" s="186">
        <v>0.84599999999999997</v>
      </c>
      <c r="BE91" s="181">
        <v>56.666666666666664</v>
      </c>
      <c r="BF91" s="181">
        <v>0.86</v>
      </c>
      <c r="BG91" s="181">
        <v>0.92400000000000004</v>
      </c>
    </row>
    <row r="92" spans="40:59" s="181" customFormat="1" x14ac:dyDescent="0.25">
      <c r="AN92" s="181">
        <v>61.583333333333336</v>
      </c>
      <c r="AO92" s="186">
        <v>0.84899999999999998</v>
      </c>
      <c r="BE92" s="181">
        <v>56.75</v>
      </c>
      <c r="BF92" s="181">
        <v>0.86299999999999999</v>
      </c>
      <c r="BG92" s="181">
        <v>0.92600000000000005</v>
      </c>
    </row>
    <row r="93" spans="40:59" s="181" customFormat="1" x14ac:dyDescent="0.25">
      <c r="AN93" s="181">
        <v>61.666666666666664</v>
      </c>
      <c r="AO93" s="186">
        <v>0.85199999999999998</v>
      </c>
      <c r="BE93" s="181">
        <v>56.833333333333336</v>
      </c>
      <c r="BF93" s="181">
        <v>0.86599999999999999</v>
      </c>
      <c r="BG93" s="181">
        <v>0.92800000000000005</v>
      </c>
    </row>
    <row r="94" spans="40:59" s="181" customFormat="1" x14ac:dyDescent="0.25">
      <c r="AN94" s="181">
        <v>61.75</v>
      </c>
      <c r="AO94" s="186">
        <v>0.85599999999999998</v>
      </c>
      <c r="BE94" s="181">
        <v>56.916666666666664</v>
      </c>
      <c r="BF94" s="181">
        <v>0.86899999999999999</v>
      </c>
      <c r="BG94" s="181">
        <v>0.93</v>
      </c>
    </row>
    <row r="95" spans="40:59" s="181" customFormat="1" x14ac:dyDescent="0.25">
      <c r="AN95" s="181">
        <v>61.833333333333336</v>
      </c>
      <c r="AO95" s="186">
        <v>0.85899999999999999</v>
      </c>
      <c r="BE95" s="181">
        <v>57</v>
      </c>
      <c r="BF95" s="181">
        <v>0.872</v>
      </c>
      <c r="BG95" s="181">
        <v>0.93100000000000005</v>
      </c>
    </row>
    <row r="96" spans="40:59" s="181" customFormat="1" x14ac:dyDescent="0.25">
      <c r="AN96" s="181">
        <v>61.916666666666664</v>
      </c>
      <c r="AO96" s="186">
        <v>0.86199999999999999</v>
      </c>
      <c r="BE96" s="181">
        <v>57.083333333333336</v>
      </c>
      <c r="BF96" s="181">
        <v>0.876</v>
      </c>
      <c r="BG96" s="181">
        <v>0.93300000000000005</v>
      </c>
    </row>
    <row r="97" spans="40:59" s="181" customFormat="1" x14ac:dyDescent="0.25">
      <c r="AN97" s="181">
        <v>62</v>
      </c>
      <c r="AO97" s="186">
        <v>0.86499999999999999</v>
      </c>
      <c r="BE97" s="181">
        <v>57.166666666666664</v>
      </c>
      <c r="BF97" s="181">
        <v>0.879</v>
      </c>
      <c r="BG97" s="181">
        <v>0.93500000000000005</v>
      </c>
    </row>
    <row r="98" spans="40:59" s="181" customFormat="1" x14ac:dyDescent="0.25">
      <c r="AN98" s="181">
        <v>62.083333333333336</v>
      </c>
      <c r="AO98" s="186">
        <v>0.86899999999999999</v>
      </c>
      <c r="BE98" s="181">
        <v>57.25</v>
      </c>
      <c r="BF98" s="181">
        <v>0.88200000000000001</v>
      </c>
      <c r="BG98" s="181">
        <v>0.93700000000000006</v>
      </c>
    </row>
    <row r="99" spans="40:59" s="181" customFormat="1" x14ac:dyDescent="0.25">
      <c r="AN99" s="181">
        <v>62.166666666666664</v>
      </c>
      <c r="AO99" s="186">
        <v>0.872</v>
      </c>
      <c r="BE99" s="181">
        <v>57.333333333333336</v>
      </c>
      <c r="BF99" s="181">
        <v>0.88600000000000001</v>
      </c>
      <c r="BG99" s="181">
        <v>0.93899999999999995</v>
      </c>
    </row>
    <row r="100" spans="40:59" s="181" customFormat="1" x14ac:dyDescent="0.25">
      <c r="AN100" s="181">
        <v>62.25</v>
      </c>
      <c r="AO100" s="186">
        <v>0.876</v>
      </c>
      <c r="BE100" s="181">
        <v>57.416666666666664</v>
      </c>
      <c r="BF100" s="181">
        <v>0.88900000000000001</v>
      </c>
      <c r="BG100" s="181">
        <v>0.94099999999999995</v>
      </c>
    </row>
    <row r="101" spans="40:59" s="181" customFormat="1" x14ac:dyDescent="0.25">
      <c r="AN101" s="181">
        <v>62.333333333333336</v>
      </c>
      <c r="AO101" s="186">
        <v>0.88</v>
      </c>
      <c r="BE101" s="181">
        <v>57.5</v>
      </c>
      <c r="BF101" s="181">
        <v>0.89200000000000002</v>
      </c>
      <c r="BG101" s="181">
        <v>0.94199999999999995</v>
      </c>
    </row>
    <row r="102" spans="40:59" s="181" customFormat="1" x14ac:dyDescent="0.25">
      <c r="AN102" s="181">
        <v>62.416666666666664</v>
      </c>
      <c r="AO102" s="186">
        <v>0.88300000000000001</v>
      </c>
      <c r="BE102" s="181">
        <v>57.583333333333336</v>
      </c>
      <c r="BF102" s="181">
        <v>0.89600000000000002</v>
      </c>
      <c r="BG102" s="181">
        <v>0.94399999999999995</v>
      </c>
    </row>
    <row r="103" spans="40:59" s="181" customFormat="1" x14ac:dyDescent="0.25">
      <c r="AN103" s="181">
        <v>62.5</v>
      </c>
      <c r="AO103" s="186">
        <v>0.88700000000000001</v>
      </c>
      <c r="BE103" s="181">
        <v>57.666666666666664</v>
      </c>
      <c r="BF103" s="181">
        <v>0.89900000000000002</v>
      </c>
      <c r="BG103" s="181">
        <v>0.94599999999999995</v>
      </c>
    </row>
    <row r="104" spans="40:59" s="181" customFormat="1" x14ac:dyDescent="0.25">
      <c r="AN104" s="181">
        <v>62.583333333333336</v>
      </c>
      <c r="AO104" s="186">
        <v>0.89</v>
      </c>
      <c r="BE104" s="181">
        <v>57.75</v>
      </c>
      <c r="BF104" s="181">
        <v>0.90200000000000002</v>
      </c>
      <c r="BG104" s="181">
        <v>0.94799999999999995</v>
      </c>
    </row>
    <row r="105" spans="40:59" s="181" customFormat="1" x14ac:dyDescent="0.25">
      <c r="AN105" s="181">
        <v>62.666666666666664</v>
      </c>
      <c r="AO105" s="186">
        <v>0.89400000000000002</v>
      </c>
      <c r="BE105" s="181">
        <v>57.833333333333336</v>
      </c>
      <c r="BF105" s="181">
        <v>0.90500000000000003</v>
      </c>
      <c r="BG105" s="181">
        <v>0.95</v>
      </c>
    </row>
    <row r="106" spans="40:59" s="181" customFormat="1" x14ac:dyDescent="0.25">
      <c r="AN106" s="181">
        <v>62.75</v>
      </c>
      <c r="AO106" s="186">
        <v>0.89700000000000002</v>
      </c>
      <c r="BE106" s="181">
        <v>57.916666666666664</v>
      </c>
      <c r="BF106" s="181">
        <v>0.90900000000000003</v>
      </c>
      <c r="BG106" s="181">
        <v>0.95199999999999996</v>
      </c>
    </row>
    <row r="107" spans="40:59" s="181" customFormat="1" x14ac:dyDescent="0.25">
      <c r="AN107" s="181">
        <v>62.833333333333336</v>
      </c>
      <c r="AO107" s="186">
        <v>0.90100000000000002</v>
      </c>
      <c r="BE107" s="181">
        <v>58</v>
      </c>
      <c r="BF107" s="181">
        <v>0.91200000000000003</v>
      </c>
      <c r="BG107" s="181">
        <v>0.95399999999999996</v>
      </c>
    </row>
    <row r="108" spans="40:59" s="181" customFormat="1" x14ac:dyDescent="0.25">
      <c r="AN108" s="181">
        <v>62.916666666666664</v>
      </c>
      <c r="AO108" s="186">
        <v>0.90400000000000003</v>
      </c>
      <c r="BE108" s="181">
        <v>58.083333333333336</v>
      </c>
      <c r="BF108" s="181">
        <v>0.91600000000000004</v>
      </c>
      <c r="BG108" s="181">
        <v>0.95599999999999996</v>
      </c>
    </row>
    <row r="109" spans="40:59" s="181" customFormat="1" x14ac:dyDescent="0.25">
      <c r="AN109" s="181">
        <v>63</v>
      </c>
      <c r="AO109" s="186">
        <v>0.90800000000000003</v>
      </c>
      <c r="BE109" s="181">
        <v>58.166666666666664</v>
      </c>
      <c r="BF109" s="181">
        <v>0.91900000000000004</v>
      </c>
      <c r="BG109" s="181">
        <v>0.95699999999999996</v>
      </c>
    </row>
    <row r="110" spans="40:59" s="181" customFormat="1" x14ac:dyDescent="0.25">
      <c r="AN110" s="181">
        <v>63.083333333333336</v>
      </c>
      <c r="AO110" s="186">
        <v>0.91100000000000003</v>
      </c>
      <c r="BE110" s="181">
        <v>58.25</v>
      </c>
      <c r="BF110" s="181">
        <v>0.92300000000000004</v>
      </c>
      <c r="BG110" s="181">
        <v>0.95899999999999996</v>
      </c>
    </row>
    <row r="111" spans="40:59" s="181" customFormat="1" x14ac:dyDescent="0.25">
      <c r="AN111" s="181">
        <v>63.166666666666664</v>
      </c>
      <c r="AO111" s="186">
        <v>0.91500000000000004</v>
      </c>
      <c r="BE111" s="181">
        <v>58.333333333333336</v>
      </c>
      <c r="BF111" s="181">
        <v>0.92600000000000005</v>
      </c>
      <c r="BG111" s="181">
        <v>0.96099999999999997</v>
      </c>
    </row>
    <row r="112" spans="40:59" s="181" customFormat="1" x14ac:dyDescent="0.25">
      <c r="AN112" s="181">
        <v>63.25</v>
      </c>
      <c r="AO112" s="186">
        <v>0.91900000000000004</v>
      </c>
      <c r="BE112" s="181">
        <v>58.416666666666664</v>
      </c>
      <c r="BF112" s="181">
        <v>0.93</v>
      </c>
      <c r="BG112" s="181">
        <v>0.96299999999999997</v>
      </c>
    </row>
    <row r="113" spans="40:59" s="181" customFormat="1" x14ac:dyDescent="0.25">
      <c r="AN113" s="181">
        <v>63.333333333333336</v>
      </c>
      <c r="AO113" s="186">
        <v>0.92300000000000004</v>
      </c>
      <c r="BE113" s="181">
        <v>58.5</v>
      </c>
      <c r="BF113" s="181">
        <v>0.93300000000000005</v>
      </c>
      <c r="BG113" s="181">
        <v>0.96499999999999997</v>
      </c>
    </row>
    <row r="114" spans="40:59" s="181" customFormat="1" x14ac:dyDescent="0.25">
      <c r="AN114" s="181">
        <v>63.416666666666664</v>
      </c>
      <c r="AO114" s="186">
        <v>0.92700000000000005</v>
      </c>
      <c r="BE114" s="181">
        <v>58.583333333333336</v>
      </c>
      <c r="BF114" s="181">
        <v>0.93700000000000006</v>
      </c>
      <c r="BG114" s="181">
        <v>0.96699999999999997</v>
      </c>
    </row>
    <row r="115" spans="40:59" s="181" customFormat="1" x14ac:dyDescent="0.25">
      <c r="AN115" s="181">
        <v>63.5</v>
      </c>
      <c r="AO115" s="186">
        <v>0.93</v>
      </c>
      <c r="BE115" s="181">
        <v>58.666666666666664</v>
      </c>
      <c r="BF115" s="181">
        <v>0.94</v>
      </c>
      <c r="BG115" s="181">
        <v>0.96899999999999997</v>
      </c>
    </row>
    <row r="116" spans="40:59" s="181" customFormat="1" x14ac:dyDescent="0.25">
      <c r="AN116" s="181">
        <v>63.583333333333336</v>
      </c>
      <c r="AO116" s="186">
        <v>0.93400000000000005</v>
      </c>
      <c r="BE116" s="181">
        <v>58.75</v>
      </c>
      <c r="BF116" s="181">
        <v>0.94399999999999995</v>
      </c>
      <c r="BG116" s="181">
        <v>0.97099999999999997</v>
      </c>
    </row>
    <row r="117" spans="40:59" s="181" customFormat="1" x14ac:dyDescent="0.25">
      <c r="AN117" s="181">
        <v>63.666666666666664</v>
      </c>
      <c r="AO117" s="186">
        <v>0.93799999999999994</v>
      </c>
      <c r="BE117" s="181">
        <v>58.833333333333336</v>
      </c>
      <c r="BF117" s="181">
        <v>0.94799999999999995</v>
      </c>
      <c r="BG117" s="181">
        <v>0.97299999999999998</v>
      </c>
    </row>
    <row r="118" spans="40:59" s="181" customFormat="1" x14ac:dyDescent="0.25">
      <c r="AN118" s="181">
        <v>63.75</v>
      </c>
      <c r="AO118" s="186">
        <v>0.94199999999999995</v>
      </c>
      <c r="BE118" s="181">
        <v>58.916666666666664</v>
      </c>
      <c r="BF118" s="181">
        <v>0.95099999999999996</v>
      </c>
      <c r="BG118" s="181">
        <v>0.97499999999999998</v>
      </c>
    </row>
    <row r="119" spans="40:59" s="181" customFormat="1" x14ac:dyDescent="0.25">
      <c r="AN119" s="181">
        <v>63.833333333333336</v>
      </c>
      <c r="AO119" s="186">
        <v>0.94599999999999995</v>
      </c>
      <c r="BE119" s="181">
        <v>59</v>
      </c>
      <c r="BF119" s="181">
        <v>0.95499999999999996</v>
      </c>
      <c r="BG119" s="181">
        <v>0.97699999999999998</v>
      </c>
    </row>
    <row r="120" spans="40:59" s="181" customFormat="1" x14ac:dyDescent="0.25">
      <c r="AN120" s="181">
        <v>63.916666666666664</v>
      </c>
      <c r="AO120" s="186">
        <v>0.95</v>
      </c>
      <c r="BE120" s="181">
        <v>59.083333333333336</v>
      </c>
      <c r="BF120" s="181">
        <v>0.95799999999999996</v>
      </c>
      <c r="BG120" s="181">
        <v>0.97899999999999998</v>
      </c>
    </row>
    <row r="121" spans="40:59" s="181" customFormat="1" x14ac:dyDescent="0.25">
      <c r="AN121" s="181">
        <v>64</v>
      </c>
      <c r="AO121" s="186">
        <v>0.95299999999999996</v>
      </c>
      <c r="BE121" s="181">
        <v>59.166666666666664</v>
      </c>
      <c r="BF121" s="181">
        <v>0.96199999999999997</v>
      </c>
      <c r="BG121" s="181">
        <v>0.98</v>
      </c>
    </row>
    <row r="122" spans="40:59" s="181" customFormat="1" x14ac:dyDescent="0.25">
      <c r="AN122" s="181">
        <v>64.083333333333329</v>
      </c>
      <c r="AO122" s="186">
        <v>0.95699999999999996</v>
      </c>
      <c r="BE122" s="181">
        <v>59.25</v>
      </c>
      <c r="BF122" s="181">
        <v>0.96599999999999997</v>
      </c>
      <c r="BG122" s="181">
        <v>0.98199999999999998</v>
      </c>
    </row>
    <row r="123" spans="40:59" s="181" customFormat="1" x14ac:dyDescent="0.25">
      <c r="AN123" s="181">
        <v>64.166666666666671</v>
      </c>
      <c r="AO123" s="186">
        <v>0.96099999999999997</v>
      </c>
      <c r="BE123" s="181">
        <v>59.333333333333336</v>
      </c>
      <c r="BF123" s="181">
        <v>0.97</v>
      </c>
      <c r="BG123" s="181">
        <v>0.98399999999999999</v>
      </c>
    </row>
    <row r="124" spans="40:59" s="181" customFormat="1" x14ac:dyDescent="0.25">
      <c r="AN124" s="181">
        <v>64.25</v>
      </c>
      <c r="AO124" s="186">
        <v>0.96499999999999997</v>
      </c>
      <c r="BE124" s="181">
        <v>59.416666666666664</v>
      </c>
      <c r="BF124" s="181">
        <v>0.97399999999999998</v>
      </c>
      <c r="BG124" s="181">
        <v>0.98599999999999999</v>
      </c>
    </row>
    <row r="125" spans="40:59" s="181" customFormat="1" x14ac:dyDescent="0.25">
      <c r="AN125" s="181">
        <v>64.333333333333329</v>
      </c>
      <c r="AO125" s="186">
        <v>0.96899999999999997</v>
      </c>
      <c r="BE125" s="181">
        <v>59.5</v>
      </c>
      <c r="BF125" s="181">
        <v>0.97699999999999998</v>
      </c>
      <c r="BG125" s="181">
        <v>0.98799999999999999</v>
      </c>
    </row>
    <row r="126" spans="40:59" s="181" customFormat="1" x14ac:dyDescent="0.25">
      <c r="AN126" s="181">
        <v>64.416666666666671</v>
      </c>
      <c r="AO126" s="186">
        <v>0.97299999999999998</v>
      </c>
      <c r="BE126" s="181">
        <v>59.583333333333336</v>
      </c>
      <c r="BF126" s="181">
        <v>0.98099999999999998</v>
      </c>
      <c r="BG126" s="181">
        <v>0.99</v>
      </c>
    </row>
    <row r="127" spans="40:59" s="181" customFormat="1" x14ac:dyDescent="0.25">
      <c r="AN127" s="181">
        <v>64.5</v>
      </c>
      <c r="AO127" s="186">
        <v>0.97699999999999998</v>
      </c>
      <c r="BE127" s="181">
        <v>59.666666666666664</v>
      </c>
      <c r="BF127" s="181">
        <v>0.98499999999999999</v>
      </c>
      <c r="BG127" s="181">
        <v>0.99199999999999999</v>
      </c>
    </row>
    <row r="128" spans="40:59" s="181" customFormat="1" x14ac:dyDescent="0.25">
      <c r="AN128" s="181">
        <v>64.583333333333329</v>
      </c>
      <c r="AO128" s="186">
        <v>0.98099999999999998</v>
      </c>
      <c r="BE128" s="181">
        <v>59.75</v>
      </c>
      <c r="BF128" s="181">
        <v>0.98899999999999999</v>
      </c>
      <c r="BG128" s="181">
        <v>0.99399999999999999</v>
      </c>
    </row>
    <row r="129" spans="40:59" s="181" customFormat="1" x14ac:dyDescent="0.25">
      <c r="AN129" s="181">
        <v>64.666666666666671</v>
      </c>
      <c r="AO129" s="186">
        <v>0.98399999999999999</v>
      </c>
      <c r="BE129" s="181">
        <v>59.833333333333336</v>
      </c>
      <c r="BF129" s="181">
        <v>0.99299999999999999</v>
      </c>
      <c r="BG129" s="181">
        <v>0.996</v>
      </c>
    </row>
    <row r="130" spans="40:59" s="181" customFormat="1" x14ac:dyDescent="0.25">
      <c r="AN130" s="181">
        <v>64.75</v>
      </c>
      <c r="AO130" s="186">
        <v>0.98799999999999999</v>
      </c>
      <c r="BE130" s="181">
        <v>59.916666666666664</v>
      </c>
      <c r="BF130" s="181">
        <v>0.996</v>
      </c>
      <c r="BG130" s="181">
        <v>0.998</v>
      </c>
    </row>
    <row r="131" spans="40:59" s="181" customFormat="1" x14ac:dyDescent="0.25">
      <c r="AN131" s="181">
        <v>64.833333333333329</v>
      </c>
      <c r="AO131" s="186">
        <v>0.99199999999999999</v>
      </c>
    </row>
    <row r="132" spans="40:59" x14ac:dyDescent="0.25">
      <c r="AN132" s="31">
        <v>64.916666666666671</v>
      </c>
      <c r="AO132" s="186">
        <v>0.996</v>
      </c>
    </row>
    <row r="133" spans="40:59" x14ac:dyDescent="0.25">
      <c r="AN133" s="31">
        <v>65</v>
      </c>
      <c r="AO133" s="186">
        <v>1</v>
      </c>
    </row>
  </sheetData>
  <sheetProtection algorithmName="SHA-512" hashValue="FnDQMSUiE6AdJ8KsUF/s/pOuMUnRabpOg7WuJaW/qe3MqYRrfSxTklOWAm6C6sO4K8cXDLVpv4OQReI4i2vXxQ==" saltValue="LO0veBmrv20xoUSfXny4xA==" spinCount="100000" sheet="1" objects="1" scenarios="1"/>
  <conditionalFormatting sqref="E46">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8">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xr:uid="{00000000-0002-0000-0800-000000000000}">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66</vt:lpstr>
      <vt:lpstr>Sheet3</vt:lpstr>
      <vt:lpstr>2008-2015 Calculator Age 66</vt:lpstr>
      <vt:lpstr>Notes</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Erin McNamara</cp:lastModifiedBy>
  <cp:lastPrinted>2016-02-26T12:12:28Z</cp:lastPrinted>
  <dcterms:created xsi:type="dcterms:W3CDTF">2016-02-25T16:30:52Z</dcterms:created>
  <dcterms:modified xsi:type="dcterms:W3CDTF">2023-11-21T09:44:22Z</dcterms:modified>
</cp:coreProperties>
</file>