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cga016\Downloads\"/>
    </mc:Choice>
  </mc:AlternateContent>
  <xr:revisionPtr revIDLastSave="0" documentId="8_{F164448A-479A-433A-9E9B-1301F8A29EB6}" xr6:coauthVersionLast="36" xr6:coauthVersionMax="36" xr10:uidLastSave="{00000000-0000-0000-0000-000000000000}"/>
  <workbookProtection workbookAlgorithmName="SHA-512" workbookHashValue="vmFEonE4I3Il8oddaUGkNj2WILK+UXKQsxA1vYwZoqJPmJCGbKkrpGBfTJxsfBo/0D26RTCiStolZeugMerf/g==" workbookSaltValue="CL0RKw75McKFpSUqeyLF7w==" workbookSpinCount="100000" lockStructure="1"/>
  <bookViews>
    <workbookView xWindow="0" yWindow="0" windowWidth="17256" windowHeight="5556" xr2:uid="{A4AAEF52-FFF4-4860-A949-452F8EEF216D}"/>
  </bookViews>
  <sheets>
    <sheet name="Instalment Calculator" sheetId="1" r:id="rId1"/>
    <sheet name="Calculatio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G3" i="2" s="1"/>
  <c r="F4" i="2"/>
  <c r="G4" i="2"/>
  <c r="F5" i="2"/>
  <c r="G5" i="2"/>
  <c r="B2" i="2"/>
  <c r="B18" i="2"/>
  <c r="B10" i="2" l="1"/>
  <c r="B6" i="2"/>
  <c r="B3" i="2"/>
  <c r="H1" i="2"/>
  <c r="F6" i="2" l="1"/>
  <c r="G6" i="2" s="1"/>
  <c r="F2" i="2"/>
  <c r="G2" i="2" s="1"/>
  <c r="G13" i="2" s="1"/>
  <c r="F8" i="2"/>
  <c r="G8" i="2" s="1"/>
  <c r="F10" i="2"/>
  <c r="G10" i="2" s="1"/>
  <c r="F9" i="2"/>
  <c r="G9" i="2" s="1"/>
  <c r="F11" i="2"/>
  <c r="G11" i="2" s="1"/>
  <c r="F12" i="2"/>
  <c r="G12" i="2" s="1"/>
  <c r="F7" i="2"/>
  <c r="G7" i="2" s="1"/>
  <c r="B7" i="2"/>
  <c r="B8" i="2" s="1"/>
  <c r="B9" i="2" l="1"/>
  <c r="B11" i="2" s="1"/>
  <c r="B14" i="2" s="1"/>
  <c r="B9" i="1" l="1"/>
  <c r="B11" i="1"/>
  <c r="B15" i="2" l="1"/>
  <c r="B13" i="1" l="1"/>
  <c r="B15" i="1" s="1"/>
  <c r="B17" i="1" s="1"/>
</calcChain>
</file>

<file path=xl/sharedStrings.xml><?xml version="1.0" encoding="utf-8"?>
<sst xmlns="http://schemas.openxmlformats.org/spreadsheetml/2006/main" count="33" uniqueCount="33">
  <si>
    <t xml:space="preserve">The monthly repayment amount is </t>
  </si>
  <si>
    <t>Total repayable (plus interest)</t>
  </si>
  <si>
    <t xml:space="preserve">Current NS&amp;I interest rate </t>
  </si>
  <si>
    <t>Interest Rates</t>
  </si>
  <si>
    <t>Current NS&amp;I Direct Saver Interest Rate</t>
  </si>
  <si>
    <t>Based on simple interest at the NS&amp;I Direct Saver Rate at the date of calculation</t>
  </si>
  <si>
    <t>Effective from</t>
  </si>
  <si>
    <t>NS&amp;I Rate</t>
  </si>
  <si>
    <t>Days at rate</t>
  </si>
  <si>
    <t>Average rate for period</t>
  </si>
  <si>
    <t>Date of letter + 1 month</t>
  </si>
  <si>
    <t>Days Interest</t>
  </si>
  <si>
    <t>Additional Interest</t>
  </si>
  <si>
    <t>Is Additional Interest Due</t>
  </si>
  <si>
    <t>Total Amount plus interest at date of initial letter</t>
  </si>
  <si>
    <t>Additional Interest (from date of initial letter)</t>
  </si>
  <si>
    <t>Average interest rate from date of initial letter + 1 month</t>
  </si>
  <si>
    <t>Total Instalment Plan</t>
  </si>
  <si>
    <t>Total interest payable</t>
  </si>
  <si>
    <t>Total cost to buy back previously opted out service</t>
  </si>
  <si>
    <t>Total Plan Length</t>
  </si>
  <si>
    <t>Amount of overpayment</t>
  </si>
  <si>
    <t>Period of re-payment</t>
  </si>
  <si>
    <t>Maximum intstalment plan</t>
  </si>
  <si>
    <t xml:space="preserve">Date of illustration </t>
  </si>
  <si>
    <t>This can be found on your personal illustration</t>
  </si>
  <si>
    <t>The number of months you want to repay the reinstatement contributions</t>
  </si>
  <si>
    <t>This is the sum of the "net cost to buy back opted-out service" and "interest charge" on your illustration</t>
  </si>
  <si>
    <t xml:space="preserve">Additional interest (from date of illustration) </t>
  </si>
  <si>
    <t>How many monthly instalments do you want to repay the contributions over</t>
  </si>
  <si>
    <t>Total to repay (with interest calculated to mid point) plus additional interest</t>
  </si>
  <si>
    <t>Monthly instalment</t>
  </si>
  <si>
    <t>Instalment Plan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</si>
</sst>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164" formatCode="&quot;£&quot;#,##0.00"/>
    <numFmt numFmtId="165" formatCode="0.0000"/>
    <numFmt numFmtId="166" formatCode="0.00000000"/>
    <numFmt numFmtId="167" formatCode="0.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6" fontId="0" fillId="0" borderId="3" xfId="0" applyNumberFormat="1" applyBorder="1"/>
    <xf numFmtId="6" fontId="0" fillId="0" borderId="5" xfId="0" applyNumberFormat="1" applyBorder="1"/>
    <xf numFmtId="165" fontId="2" fillId="0" borderId="0" xfId="0" applyNumberFormat="1" applyFont="1" applyAlignment="1">
      <alignment vertical="center" wrapText="1"/>
    </xf>
    <xf numFmtId="166" fontId="0" fillId="0" borderId="0" xfId="0" applyNumberFormat="1"/>
    <xf numFmtId="165" fontId="0" fillId="0" borderId="0" xfId="0" applyNumberFormat="1" applyAlignment="1">
      <alignment vertical="center" wrapText="1"/>
    </xf>
    <xf numFmtId="167" fontId="0" fillId="0" borderId="0" xfId="0" applyNumberFormat="1"/>
    <xf numFmtId="0" fontId="4" fillId="0" borderId="0" xfId="0" applyFont="1"/>
    <xf numFmtId="0" fontId="5" fillId="0" borderId="0" xfId="0" applyFont="1"/>
    <xf numFmtId="164" fontId="5" fillId="0" borderId="0" xfId="0" applyNumberFormat="1" applyFont="1" applyProtection="1">
      <protection locked="0"/>
    </xf>
    <xf numFmtId="164" fontId="5" fillId="0" borderId="0" xfId="0" applyNumberFormat="1" applyFont="1"/>
    <xf numFmtId="1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0" fontId="5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1222-5981-4E45-83BE-461DC32FD384}">
  <dimension ref="A1:D21"/>
  <sheetViews>
    <sheetView tabSelected="1" zoomScaleNormal="100" workbookViewId="0">
      <selection activeCell="A11" sqref="A11"/>
    </sheetView>
  </sheetViews>
  <sheetFormatPr defaultColWidth="8.6640625" defaultRowHeight="15" x14ac:dyDescent="0.25"/>
  <cols>
    <col min="1" max="1" width="76.109375" style="24" customWidth="1"/>
    <col min="2" max="2" width="16.109375" style="24" customWidth="1"/>
    <col min="3" max="3" width="1.6640625" style="24" customWidth="1"/>
    <col min="4" max="4" width="105.88671875" style="24" customWidth="1"/>
    <col min="5" max="5" width="55.33203125" style="24" customWidth="1"/>
    <col min="6" max="16384" width="8.6640625" style="24"/>
  </cols>
  <sheetData>
    <row r="1" spans="1:4" ht="15.6" x14ac:dyDescent="0.3">
      <c r="A1" s="23" t="s">
        <v>32</v>
      </c>
    </row>
    <row r="3" spans="1:4" x14ac:dyDescent="0.25">
      <c r="A3" s="24" t="s">
        <v>19</v>
      </c>
      <c r="B3" s="25">
        <v>5000</v>
      </c>
      <c r="D3" s="24" t="s">
        <v>27</v>
      </c>
    </row>
    <row r="4" spans="1:4" x14ac:dyDescent="0.25">
      <c r="B4" s="26"/>
    </row>
    <row r="5" spans="1:4" x14ac:dyDescent="0.25">
      <c r="A5" s="24" t="s">
        <v>24</v>
      </c>
      <c r="B5" s="27">
        <v>45513</v>
      </c>
      <c r="D5" s="24" t="s">
        <v>25</v>
      </c>
    </row>
    <row r="7" spans="1:4" x14ac:dyDescent="0.25">
      <c r="A7" s="24" t="s">
        <v>29</v>
      </c>
      <c r="B7" s="28">
        <v>12</v>
      </c>
      <c r="D7" s="24" t="s">
        <v>26</v>
      </c>
    </row>
    <row r="9" spans="1:4" x14ac:dyDescent="0.25">
      <c r="A9" s="24" t="s">
        <v>28</v>
      </c>
      <c r="B9" s="26">
        <f ca="1">Calculations!B11</f>
        <v>218.63132393230899</v>
      </c>
    </row>
    <row r="11" spans="1:4" x14ac:dyDescent="0.25">
      <c r="A11" s="24" t="s">
        <v>2</v>
      </c>
      <c r="B11" s="29">
        <f>Calculations!B2</f>
        <v>3.2999999999999918E-2</v>
      </c>
    </row>
    <row r="13" spans="1:4" x14ac:dyDescent="0.25">
      <c r="A13" s="24" t="s">
        <v>0</v>
      </c>
      <c r="B13" s="26">
        <f ca="1">Calculations!B15</f>
        <v>441.76094366102575</v>
      </c>
    </row>
    <row r="15" spans="1:4" x14ac:dyDescent="0.25">
      <c r="A15" s="24" t="s">
        <v>1</v>
      </c>
      <c r="B15" s="26">
        <f ca="1">B13*B7</f>
        <v>5301.131323932309</v>
      </c>
    </row>
    <row r="17" spans="1:4" x14ac:dyDescent="0.25">
      <c r="A17" s="24" t="s">
        <v>18</v>
      </c>
      <c r="B17" s="26">
        <f ca="1">B15-B3</f>
        <v>301.13132393230899</v>
      </c>
    </row>
    <row r="19" spans="1:4" x14ac:dyDescent="0.25">
      <c r="A19" s="30"/>
    </row>
    <row r="20" spans="1:4" x14ac:dyDescent="0.25">
      <c r="A20" s="30"/>
    </row>
    <row r="21" spans="1:4" x14ac:dyDescent="0.25">
      <c r="D21" s="26"/>
    </row>
  </sheetData>
  <sheetProtection algorithmName="SHA-512" hashValue="36/27AczfosmpSI11f+4cqeB4QbO4DkB3al3jK1cb0fd1dbHUnEQ8sEFur8RXoOoOrBHhgteBypN6LB2rCDx8A==" saltValue="yWGnePPeepP3KYU2vLZHWQ==" spinCount="100000" sheet="1" objects="1" scenarios="1"/>
  <dataConsolidate/>
  <dataValidations disablePrompts="1" count="1">
    <dataValidation type="decimal" allowBlank="1" showInputMessage="1" showErrorMessage="1" errorTitle="Unable to calculate" error="Please contact NHS Pensions to discuss your repayment plan. " sqref="B3" xr:uid="{2AA3F378-9459-4A82-9FFA-30DB6E6A0C09}">
      <formula1>0</formula1>
      <formula2>20000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whole" allowBlank="1" showInputMessage="1" showErrorMessage="1" errorTitle="Exceed maximum instalment plan " error="The instalment plan selected exceeds the NHS Pensions allowable instalment plan length. Please contact NHS Pensions to complete a financial assessment or reduce the plan length. " xr:uid="{060B1BB0-85C1-4C7D-A1C1-F689C07616A8}">
          <x14:formula1>
            <xm:f>1</xm:f>
          </x14:formula1>
          <x14:formula2>
            <xm:f>Calculations!B18</xm:f>
          </x14:formula2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2773-6991-4B8D-AA01-DD0CCB637225}">
  <dimension ref="A1:K22"/>
  <sheetViews>
    <sheetView workbookViewId="0">
      <selection activeCell="G14" sqref="G14"/>
    </sheetView>
  </sheetViews>
  <sheetFormatPr defaultRowHeight="14.4" x14ac:dyDescent="0.3"/>
  <cols>
    <col min="1" max="1" width="75.88671875" customWidth="1"/>
    <col min="2" max="2" width="10.44140625" bestFit="1" customWidth="1"/>
    <col min="4" max="4" width="10.44140625" bestFit="1" customWidth="1"/>
    <col min="7" max="7" width="12.5546875" customWidth="1"/>
    <col min="8" max="8" width="10.44140625" bestFit="1" customWidth="1"/>
    <col min="10" max="10" width="18.88671875" customWidth="1"/>
    <col min="11" max="11" width="17.88671875" customWidth="1"/>
  </cols>
  <sheetData>
    <row r="1" spans="1:11" ht="29.4" thickBot="1" x14ac:dyDescent="0.35">
      <c r="A1" s="1" t="s">
        <v>3</v>
      </c>
      <c r="D1" s="4" t="s">
        <v>6</v>
      </c>
      <c r="E1" s="5" t="s">
        <v>7</v>
      </c>
      <c r="F1" s="5" t="s">
        <v>8</v>
      </c>
      <c r="G1" s="6" t="s">
        <v>9</v>
      </c>
      <c r="H1" s="7">
        <f ca="1">TODAY()</f>
        <v>46002</v>
      </c>
      <c r="J1" s="15" t="s">
        <v>21</v>
      </c>
      <c r="K1" s="16" t="s">
        <v>22</v>
      </c>
    </row>
    <row r="2" spans="1:11" x14ac:dyDescent="0.3">
      <c r="A2" t="s">
        <v>4</v>
      </c>
      <c r="B2" s="2">
        <f>E2-1</f>
        <v>3.2999999999999918E-2</v>
      </c>
      <c r="D2" s="8">
        <v>45721</v>
      </c>
      <c r="E2" s="19">
        <v>1.0329999999999999</v>
      </c>
      <c r="F2" s="9">
        <f ca="1">IF($B$6&gt;D2,$H$1-$B$6,$H$1-D2)</f>
        <v>281</v>
      </c>
      <c r="G2" s="20">
        <f ca="1">E2^(F2/365.25)</f>
        <v>1.0252927489080694</v>
      </c>
      <c r="J2" s="17">
        <v>3000</v>
      </c>
      <c r="K2" s="13">
        <v>24</v>
      </c>
    </row>
    <row r="3" spans="1:11" x14ac:dyDescent="0.3">
      <c r="A3" t="s">
        <v>5</v>
      </c>
      <c r="B3" s="2">
        <f>B2/12</f>
        <v>2.7499999999999933E-3</v>
      </c>
      <c r="D3" s="8">
        <v>45646</v>
      </c>
      <c r="E3" s="19">
        <v>1.0349999999999999</v>
      </c>
      <c r="F3" s="9">
        <f t="shared" ref="F3:F5" si="0">IF($B$6&lt;D2,IF($B$6&gt;D3,D2-$B$6,D2-D3),0)</f>
        <v>75</v>
      </c>
      <c r="G3" s="20">
        <f t="shared" ref="G3:G5" si="1">E3^(F3/365.25)</f>
        <v>1.0070889565234933</v>
      </c>
      <c r="J3" s="18">
        <v>10000</v>
      </c>
      <c r="K3" s="14">
        <v>60</v>
      </c>
    </row>
    <row r="4" spans="1:11" x14ac:dyDescent="0.3">
      <c r="D4" s="8">
        <v>45616</v>
      </c>
      <c r="E4" s="19">
        <v>1.0375000000000001</v>
      </c>
      <c r="F4" s="9">
        <f t="shared" si="0"/>
        <v>30</v>
      </c>
      <c r="G4" s="20">
        <f t="shared" si="1"/>
        <v>1.0030283110564349</v>
      </c>
      <c r="J4" s="18">
        <v>20000</v>
      </c>
      <c r="K4" s="14">
        <v>90</v>
      </c>
    </row>
    <row r="5" spans="1:11" x14ac:dyDescent="0.3">
      <c r="A5" s="1" t="s">
        <v>12</v>
      </c>
      <c r="D5" s="8">
        <v>45435</v>
      </c>
      <c r="E5" s="19">
        <v>1.04</v>
      </c>
      <c r="F5" s="9">
        <f t="shared" si="0"/>
        <v>72</v>
      </c>
      <c r="G5" s="20">
        <f t="shared" si="1"/>
        <v>1.0077613575396449</v>
      </c>
    </row>
    <row r="6" spans="1:11" x14ac:dyDescent="0.3">
      <c r="A6" s="11" t="s">
        <v>10</v>
      </c>
      <c r="B6" s="7">
        <f>EDATE('Instalment Calculator'!B5,1)</f>
        <v>45544</v>
      </c>
      <c r="D6" s="8">
        <v>45156</v>
      </c>
      <c r="E6" s="19">
        <v>1.0365</v>
      </c>
      <c r="F6" s="9">
        <f t="shared" ref="F6" si="2">IF($B$6&lt;D5,IF($B$6&gt;D6,D5-$B$6,D5-D6),0)</f>
        <v>0</v>
      </c>
      <c r="G6" s="20">
        <f t="shared" ref="G6" si="3">E6^(F6/365.25)</f>
        <v>1</v>
      </c>
    </row>
    <row r="7" spans="1:11" x14ac:dyDescent="0.3">
      <c r="A7" s="12" t="s">
        <v>11</v>
      </c>
      <c r="B7">
        <f ca="1">_xlfn.DAYS(H1,B6)</f>
        <v>458</v>
      </c>
      <c r="D7" s="8">
        <v>45120</v>
      </c>
      <c r="E7" s="19">
        <v>1.034</v>
      </c>
      <c r="F7" s="9">
        <f t="shared" ref="F7:F11" si="4">IF($B$6&lt;D6,IF($B$6&gt;D7,D6-$B$6,D6-D7),0)</f>
        <v>0</v>
      </c>
      <c r="G7" s="20">
        <f t="shared" ref="G7:G12" si="5">E7^(F7/365.25)</f>
        <v>1</v>
      </c>
    </row>
    <row r="8" spans="1:11" x14ac:dyDescent="0.3">
      <c r="A8" t="s">
        <v>13</v>
      </c>
      <c r="B8" t="str">
        <f ca="1">IF(B7&lt;1,"No","Yes")</f>
        <v>Yes</v>
      </c>
      <c r="D8" s="8">
        <v>44971</v>
      </c>
      <c r="E8" s="19">
        <v>1.0285</v>
      </c>
      <c r="F8" s="9">
        <f t="shared" si="4"/>
        <v>0</v>
      </c>
      <c r="G8" s="20">
        <f t="shared" si="5"/>
        <v>1</v>
      </c>
    </row>
    <row r="9" spans="1:11" x14ac:dyDescent="0.3">
      <c r="A9" t="s">
        <v>16</v>
      </c>
      <c r="B9" s="22">
        <f ca="1">G13</f>
        <v>1.0437262647864618</v>
      </c>
      <c r="D9" s="8">
        <v>44950</v>
      </c>
      <c r="E9" s="19">
        <v>1.026</v>
      </c>
      <c r="F9" s="9">
        <f t="shared" si="4"/>
        <v>0</v>
      </c>
      <c r="G9" s="20">
        <f t="shared" si="5"/>
        <v>1</v>
      </c>
    </row>
    <row r="10" spans="1:11" x14ac:dyDescent="0.3">
      <c r="A10" t="s">
        <v>14</v>
      </c>
      <c r="B10" s="3">
        <f>'Instalment Calculator'!B3</f>
        <v>5000</v>
      </c>
      <c r="D10" s="8">
        <v>44908</v>
      </c>
      <c r="E10" s="21">
        <v>1.0229999999999999</v>
      </c>
      <c r="F10" s="9">
        <f t="shared" si="4"/>
        <v>0</v>
      </c>
      <c r="G10" s="20">
        <f t="shared" si="5"/>
        <v>1</v>
      </c>
    </row>
    <row r="11" spans="1:11" x14ac:dyDescent="0.3">
      <c r="A11" t="s">
        <v>15</v>
      </c>
      <c r="B11" s="3">
        <f ca="1">IF(B8="Yes",B10*(B9-1),0)</f>
        <v>218.63132393230899</v>
      </c>
      <c r="D11" s="8">
        <v>44859</v>
      </c>
      <c r="E11" s="21">
        <v>1.018</v>
      </c>
      <c r="F11" s="9">
        <f t="shared" si="4"/>
        <v>0</v>
      </c>
      <c r="G11" s="20">
        <f t="shared" si="5"/>
        <v>1</v>
      </c>
    </row>
    <row r="12" spans="1:11" x14ac:dyDescent="0.3">
      <c r="D12" s="8">
        <v>44763</v>
      </c>
      <c r="E12" s="21">
        <v>1.012</v>
      </c>
      <c r="F12" s="9">
        <f>IF($B$6&lt;D11,IF($B$6&gt;D12,D11-$B$6,D11-D12),0)</f>
        <v>0</v>
      </c>
      <c r="G12" s="20">
        <f t="shared" si="5"/>
        <v>1</v>
      </c>
    </row>
    <row r="13" spans="1:11" x14ac:dyDescent="0.3">
      <c r="A13" s="1" t="s">
        <v>17</v>
      </c>
      <c r="F13" s="9"/>
      <c r="G13" s="22">
        <f ca="1">G2*G3*G4*G5*G6*G7*G8*G9*G10*G11*G12</f>
        <v>1.0437262647864618</v>
      </c>
    </row>
    <row r="14" spans="1:11" x14ac:dyDescent="0.3">
      <c r="A14" t="s">
        <v>30</v>
      </c>
      <c r="B14" s="3">
        <f ca="1">'Instalment Calculator'!B3*(1+('Instalment Calculator'!B7/2)*Calculations!B3)+B11</f>
        <v>5301.131323932309</v>
      </c>
      <c r="F14" s="9"/>
      <c r="G14" s="2"/>
    </row>
    <row r="15" spans="1:11" x14ac:dyDescent="0.3">
      <c r="A15" t="s">
        <v>31</v>
      </c>
      <c r="B15">
        <f ca="1">B14/'Instalment Calculator'!B7</f>
        <v>441.76094366102575</v>
      </c>
      <c r="F15" s="9"/>
      <c r="G15" s="2"/>
    </row>
    <row r="16" spans="1:11" x14ac:dyDescent="0.3">
      <c r="D16" s="8"/>
      <c r="E16" s="10"/>
      <c r="F16" s="9"/>
      <c r="G16" s="2"/>
    </row>
    <row r="17" spans="1:7" x14ac:dyDescent="0.3">
      <c r="A17" s="1" t="s">
        <v>20</v>
      </c>
      <c r="D17" s="8"/>
      <c r="E17" s="10"/>
      <c r="F17" s="9"/>
      <c r="G17" s="2"/>
    </row>
    <row r="18" spans="1:7" x14ac:dyDescent="0.3">
      <c r="A18" t="s">
        <v>23</v>
      </c>
      <c r="B18">
        <f>IF('Instalment Calculator'!$B$3&lt;=$J$2,$K$2,IF('Instalment Calculator'!$B$3&lt;=$J$3,$K$3,$K$4))</f>
        <v>60</v>
      </c>
      <c r="C18" s="11"/>
      <c r="D18" s="3"/>
    </row>
    <row r="19" spans="1:7" x14ac:dyDescent="0.3">
      <c r="D19" s="3"/>
    </row>
    <row r="20" spans="1:7" x14ac:dyDescent="0.3">
      <c r="D20" s="3"/>
    </row>
    <row r="22" spans="1:7" x14ac:dyDescent="0.3">
      <c r="D22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FE3F2A70A774AA81C66F54E7BF471" ma:contentTypeVersion="11" ma:contentTypeDescription="Create a new document." ma:contentTypeScope="" ma:versionID="29a14d6a24b16d36dbe6268b736c8770">
  <xsd:schema xmlns:xsd="http://www.w3.org/2001/XMLSchema" xmlns:xs="http://www.w3.org/2001/XMLSchema" xmlns:p="http://schemas.microsoft.com/office/2006/metadata/properties" xmlns:ns2="9c395806-f6fc-4c4c-8f7e-33fb8178eadb" xmlns:ns3="eede4106-cd7d-483e-b9ea-54a8c446956c" targetNamespace="http://schemas.microsoft.com/office/2006/metadata/properties" ma:root="true" ma:fieldsID="697966e2c567b00e487afef8925db036" ns2:_="" ns3:_="">
    <xsd:import namespace="9c395806-f6fc-4c4c-8f7e-33fb8178eadb"/>
    <xsd:import namespace="eede4106-cd7d-483e-b9ea-54a8c44695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95806-f6fc-4c4c-8f7e-33fb8178ea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e4106-cd7d-483e-b9ea-54a8c44695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870a86-258a-4c54-9a06-0f68ecaadddf}" ma:internalName="TaxCatchAll" ma:showField="CatchAllData" ma:web="eede4106-cd7d-483e-b9ea-54a8c44695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395806-f6fc-4c4c-8f7e-33fb8178eadb">
      <Terms xmlns="http://schemas.microsoft.com/office/infopath/2007/PartnerControls"/>
    </lcf76f155ced4ddcb4097134ff3c332f>
    <TaxCatchAll xmlns="eede4106-cd7d-483e-b9ea-54a8c446956c" xsi:nil="true"/>
  </documentManagement>
</p:properties>
</file>

<file path=customXml/itemProps1.xml><?xml version="1.0" encoding="utf-8"?>
<ds:datastoreItem xmlns:ds="http://schemas.openxmlformats.org/officeDocument/2006/customXml" ds:itemID="{0D36955F-096F-4106-B214-1666A51698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08AA2-EF3E-4F7C-9E44-7A18B8F60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395806-f6fc-4c4c-8f7e-33fb8178eadb"/>
    <ds:schemaRef ds:uri="eede4106-cd7d-483e-b9ea-54a8c44695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5C8FEE-3F31-4A34-B06A-D1DF5F7FE9CD}">
  <ds:schemaRefs>
    <ds:schemaRef ds:uri="http://purl.org/dc/terms/"/>
    <ds:schemaRef ds:uri="http://schemas.microsoft.com/office/2006/documentManagement/types"/>
    <ds:schemaRef ds:uri="9c395806-f6fc-4c4c-8f7e-33fb8178eadb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ede4106-cd7d-483e-b9ea-54a8c44695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Instalment Calculator</vt:lpstr>
      <vt:lpstr>Calculations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HSC Pension Service</dc:creator>
  <cp:lastModifiedBy>Ryan McGavigan</cp:lastModifiedBy>
  <dcterms:created xsi:type="dcterms:W3CDTF">2023-05-12T08:18:20Z</dcterms:created>
  <dcterms:modified xsi:type="dcterms:W3CDTF">2025-12-11T10:59:46Z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0x010100BCEFE3F2A70A774AA81C66F54E7BF471</vt:lpwstr>
  </property>
  <property fmtid="{D5CDD505-2E9C-101B-9397-08002B2CF9AE}" pid="3" name="MediaServiceImageTags">
    <vt:lpwstr/>
  </property>
</Properties>
</file>