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autoCompressPictures="0"/>
  <mc:AlternateContent xmlns:mc="http://schemas.openxmlformats.org/markup-compatibility/2006">
    <mc:Choice Requires="x15">
      <x15ac:absPath xmlns:x15ac="http://schemas.microsoft.com/office/spreadsheetml/2010/11/ac" url="C:\Users\jcoyl008\Desktop\General Workshops\Calculators\"/>
    </mc:Choice>
  </mc:AlternateContent>
  <xr:revisionPtr revIDLastSave="0" documentId="8_{D2191D4C-E7F3-4137-8B2F-56DED566DC8B}" xr6:coauthVersionLast="36" xr6:coauthVersionMax="36" xr10:uidLastSave="{00000000-0000-0000-0000-000000000000}"/>
  <bookViews>
    <workbookView xWindow="0" yWindow="0" windowWidth="17490" windowHeight="9435" firstSheet="7" activeTab="15" xr2:uid="{00000000-000D-0000-FFFF-FFFF00000000}"/>
  </bookViews>
  <sheets>
    <sheet name="2015 Pension Calculation" sheetId="3" state="hidden" r:id="rId1"/>
    <sheet name="Historical CPI Rates" sheetId="4" state="hidden" r:id="rId2"/>
    <sheet name="Revaluation" sheetId="5" state="hidden" r:id="rId3"/>
    <sheet name="Variables" sheetId="6" state="hidden" r:id="rId4"/>
    <sheet name="2015 VER Calculator " sheetId="7" state="hidden" r:id="rId5"/>
    <sheet name="Sheet1" sheetId="8" state="hidden" r:id="rId6"/>
    <sheet name="2015 Calculator Age 67" sheetId="9" state="hidden" r:id="rId7"/>
    <sheet name="T&amp;C's" sheetId="10" r:id="rId8"/>
    <sheet name="1995-2015 Calculator (67)" sheetId="11" state="hidden" r:id="rId9"/>
    <sheet name="Sheet2" sheetId="14" state="hidden" r:id="rId10"/>
    <sheet name="Instructions" sheetId="15" r:id="rId11"/>
    <sheet name="Age at Retirement" sheetId="18" r:id="rId12"/>
    <sheet name="Results" sheetId="19" state="hidden" r:id="rId13"/>
    <sheet name="1995 Scheme Information" sheetId="16" state="hidden" r:id="rId14"/>
    <sheet name="2015 Scheme Information" sheetId="17" r:id="rId15"/>
    <sheet name="Proceed to Results" sheetId="20" r:id="rId16"/>
    <sheet name="Sheet3" sheetId="22" state="hidden" r:id="rId17"/>
    <sheet name="Notes" sheetId="13" state="hidden" r:id="rId18"/>
    <sheet name="Sheet4" sheetId="21" state="hidden" r:id="rId19"/>
  </sheets>
  <definedNames>
    <definedName name="_xlnm.Print_Area" localSheetId="2">Revaluation!$A$2:$X$25</definedName>
  </definedNames>
  <calcPr calcId="19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AH240" i="14" l="1"/>
  <c r="AH236" i="14"/>
  <c r="AH235" i="14"/>
  <c r="AH234" i="14"/>
  <c r="AH233" i="14"/>
  <c r="AH232" i="14"/>
  <c r="AH231" i="14"/>
  <c r="AH230" i="14"/>
  <c r="AH228" i="14"/>
  <c r="AH224" i="14"/>
  <c r="AH223" i="14"/>
  <c r="AH222" i="14"/>
  <c r="AH221" i="14"/>
  <c r="AH220" i="14"/>
  <c r="AH219" i="14"/>
  <c r="AH218" i="14"/>
  <c r="AH216" i="14"/>
  <c r="AH212" i="14"/>
  <c r="AH211" i="14"/>
  <c r="AH210" i="14"/>
  <c r="AH209" i="14"/>
  <c r="AH208" i="14"/>
  <c r="AH207" i="14"/>
  <c r="AH206" i="14"/>
  <c r="AH204" i="14"/>
  <c r="AH200" i="14"/>
  <c r="AH199" i="14"/>
  <c r="AH198" i="14"/>
  <c r="AH197" i="14"/>
  <c r="AH196" i="14"/>
  <c r="AH195" i="14"/>
  <c r="AH194" i="14"/>
  <c r="AH192" i="14"/>
  <c r="AH188" i="14"/>
  <c r="AH187" i="14"/>
  <c r="AH186" i="14"/>
  <c r="AH185" i="14"/>
  <c r="AH184" i="14"/>
  <c r="AH183" i="14"/>
  <c r="AH182" i="14"/>
  <c r="AH180" i="14"/>
  <c r="AH176" i="14"/>
  <c r="AH175" i="14"/>
  <c r="AH174" i="14"/>
  <c r="AH173" i="14"/>
  <c r="AH172" i="14"/>
  <c r="AH171" i="14"/>
  <c r="AH170" i="14"/>
  <c r="AH168" i="14"/>
  <c r="AH159" i="14"/>
  <c r="M17" i="11" l="1"/>
  <c r="F2" i="21" l="1"/>
  <c r="E2" i="21"/>
  <c r="E19" i="21"/>
  <c r="E17" i="21"/>
  <c r="E12" i="21"/>
  <c r="E10" i="21"/>
  <c r="H59" i="20"/>
  <c r="H65" i="20" s="1"/>
  <c r="F59" i="20"/>
  <c r="D65" i="20" s="1"/>
  <c r="D63" i="20" l="1"/>
  <c r="H63" i="20"/>
  <c r="M65" i="20"/>
  <c r="M36" i="14"/>
  <c r="L36" i="14"/>
  <c r="L30" i="14"/>
  <c r="L31" i="14"/>
  <c r="L32" i="14"/>
  <c r="L33" i="14"/>
  <c r="L29" i="14"/>
  <c r="L25" i="14"/>
  <c r="L19" i="14"/>
  <c r="M14" i="14"/>
  <c r="L14" i="14"/>
  <c r="H29" i="19"/>
  <c r="H35" i="19" s="1"/>
  <c r="F29" i="19"/>
  <c r="D35" i="19" s="1"/>
  <c r="M35" i="19" s="1"/>
  <c r="M63" i="20" l="1"/>
  <c r="D33" i="19"/>
  <c r="H33" i="19"/>
  <c r="AA28" i="14"/>
  <c r="N30" i="11"/>
  <c r="M30" i="11"/>
  <c r="U74" i="14"/>
  <c r="U73" i="14"/>
  <c r="R59" i="11"/>
  <c r="U36" i="14"/>
  <c r="Y38" i="14" s="1"/>
  <c r="AH156" i="14"/>
  <c r="AH147" i="14"/>
  <c r="AR21" i="14"/>
  <c r="AR20" i="14"/>
  <c r="AR19" i="14"/>
  <c r="AR18" i="14"/>
  <c r="AR17" i="14"/>
  <c r="AR16" i="14"/>
  <c r="AR15" i="14"/>
  <c r="AZ14" i="14"/>
  <c r="BB14" i="14" s="1"/>
  <c r="AZ17" i="14" s="1"/>
  <c r="AR14" i="14"/>
  <c r="AL14" i="14"/>
  <c r="AN14" i="14" s="1"/>
  <c r="AR13" i="14"/>
  <c r="AR12" i="14"/>
  <c r="AR11" i="14"/>
  <c r="U30" i="14"/>
  <c r="V30" i="14" s="1"/>
  <c r="U31" i="14"/>
  <c r="V31" i="14" s="1"/>
  <c r="U32" i="14"/>
  <c r="V32" i="14" s="1"/>
  <c r="U33" i="14"/>
  <c r="V33" i="14" s="1"/>
  <c r="U29" i="14"/>
  <c r="V29" i="14" s="1"/>
  <c r="Z33" i="14"/>
  <c r="Z32" i="14"/>
  <c r="Z31" i="14"/>
  <c r="Z30" i="14"/>
  <c r="Z29" i="14"/>
  <c r="M33" i="19" l="1"/>
  <c r="W29" i="14"/>
  <c r="AA29" i="14" s="1"/>
  <c r="AC29" i="14" s="1"/>
  <c r="W30" i="14" l="1"/>
  <c r="AA30" i="14" s="1"/>
  <c r="AC30" i="14" s="1"/>
  <c r="W31" i="14" l="1"/>
  <c r="AA31" i="14" s="1"/>
  <c r="AC31" i="14" s="1"/>
  <c r="W32" i="14" l="1"/>
  <c r="AA32" i="14" s="1"/>
  <c r="W33" i="14" s="1"/>
  <c r="AA33" i="14" s="1"/>
  <c r="AC33" i="14" s="1"/>
  <c r="AC32" i="14" l="1"/>
  <c r="AA35" i="14" s="1"/>
  <c r="AA38" i="14" s="1"/>
  <c r="H6" i="19" l="1"/>
  <c r="H36" i="20"/>
  <c r="H47" i="14"/>
  <c r="U59" i="14" s="1"/>
  <c r="U60" i="14" s="1"/>
  <c r="H70" i="14" s="1"/>
  <c r="H58" i="14" l="1"/>
  <c r="H17" i="19" s="1"/>
  <c r="U61" i="14"/>
  <c r="H56" i="14" s="1"/>
  <c r="H45" i="20" s="1"/>
  <c r="M19" i="11"/>
  <c r="N14" i="11"/>
  <c r="M14" i="11"/>
  <c r="H76" i="14"/>
  <c r="H15" i="19" l="1"/>
  <c r="H47" i="20"/>
  <c r="K19" i="9"/>
  <c r="M29" i="9" l="1"/>
  <c r="K29" i="9"/>
  <c r="J17" i="7" s="1"/>
  <c r="K21" i="9"/>
  <c r="R72" i="11" l="1"/>
  <c r="R24" i="11"/>
  <c r="P24" i="11"/>
  <c r="AV16" i="11"/>
  <c r="AX16" i="11" s="1"/>
  <c r="AC11" i="11" s="1"/>
  <c r="T12" i="11"/>
  <c r="W12" i="11" s="1"/>
  <c r="S12" i="11"/>
  <c r="Y13" i="11" l="1"/>
  <c r="S24" i="11"/>
  <c r="W13" i="11"/>
  <c r="V16" i="11" s="1"/>
  <c r="AB11" i="11"/>
  <c r="V18" i="11" l="1"/>
  <c r="X18" i="11" s="1"/>
  <c r="E43" i="11" s="1"/>
  <c r="X16" i="11"/>
  <c r="E41" i="11" s="1"/>
  <c r="AP14" i="7"/>
  <c r="AR14" i="7" s="1"/>
  <c r="J21" i="7" s="1"/>
  <c r="D36" i="20" l="1"/>
  <c r="D6" i="19"/>
  <c r="M6" i="19" s="1"/>
  <c r="D47" i="14"/>
  <c r="M47" i="14" s="1"/>
  <c r="R46" i="11"/>
  <c r="G69" i="11" s="1"/>
  <c r="E73" i="11" s="1"/>
  <c r="N43" i="11"/>
  <c r="D49" i="14"/>
  <c r="D38" i="20" s="1"/>
  <c r="M38" i="20" s="1"/>
  <c r="AP17" i="7"/>
  <c r="D20" i="3"/>
  <c r="D14" i="3"/>
  <c r="M36" i="20" l="1"/>
  <c r="E15" i="20" s="1"/>
  <c r="L15" i="20" s="1"/>
  <c r="D8" i="19"/>
  <c r="M8" i="19" s="1"/>
  <c r="U77" i="14"/>
  <c r="F70" i="14" s="1"/>
  <c r="M49" i="14"/>
  <c r="E75" i="11"/>
  <c r="E53" i="11"/>
  <c r="D56" i="14" s="1"/>
  <c r="E55" i="11"/>
  <c r="D58" i="14" s="1"/>
  <c r="C6" i="6"/>
  <c r="D15" i="19" l="1"/>
  <c r="M15" i="19" s="1"/>
  <c r="D45" i="20"/>
  <c r="M45" i="20" s="1"/>
  <c r="E21" i="20" s="1"/>
  <c r="L21" i="20" s="1"/>
  <c r="D17" i="19"/>
  <c r="M17" i="19" s="1"/>
  <c r="D47" i="20"/>
  <c r="M47" i="20" s="1"/>
  <c r="E23" i="20" s="1"/>
  <c r="M58" i="14"/>
  <c r="M56" i="14"/>
  <c r="D74" i="14"/>
  <c r="D76" i="14"/>
  <c r="M76" i="14" s="1"/>
  <c r="H74" i="14"/>
  <c r="G73" i="3"/>
  <c r="G74" i="3"/>
  <c r="G78" i="3"/>
  <c r="G75" i="3"/>
  <c r="G79" i="3"/>
  <c r="G76" i="3"/>
  <c r="G77" i="3"/>
  <c r="X147" i="7"/>
  <c r="X156" i="7"/>
  <c r="AB14" i="7"/>
  <c r="M74" i="14" l="1"/>
  <c r="AD14" i="7"/>
  <c r="AH11" i="7"/>
  <c r="AH12" i="7"/>
  <c r="AH13" i="7"/>
  <c r="AH14" i="7"/>
  <c r="AH15" i="7"/>
  <c r="AH16" i="7"/>
  <c r="AH17" i="7"/>
  <c r="AH18" i="7"/>
  <c r="AH19" i="7"/>
  <c r="AH20" i="7"/>
  <c r="AH21" i="7"/>
  <c r="J22" i="7" l="1"/>
  <c r="K34" i="9" s="1"/>
  <c r="C2" i="6" l="1"/>
  <c r="A1" i="5"/>
  <c r="B15" i="4"/>
  <c r="BG54" i="5" l="1"/>
  <c r="E20" i="3"/>
  <c r="D21" i="3"/>
  <c r="E21" i="3" l="1"/>
  <c r="D22" i="3"/>
  <c r="A4" i="5"/>
  <c r="C4" i="5" s="1"/>
  <c r="F20" i="3"/>
  <c r="C58" i="5" l="1"/>
  <c r="D4" i="5"/>
  <c r="A5" i="5"/>
  <c r="D5" i="5" s="1"/>
  <c r="E5" i="5" s="1"/>
  <c r="F5" i="5" s="1"/>
  <c r="G5" i="5" s="1"/>
  <c r="H5" i="5" s="1"/>
  <c r="I5" i="5" s="1"/>
  <c r="J5" i="5" s="1"/>
  <c r="K5" i="5" s="1"/>
  <c r="L5" i="5" s="1"/>
  <c r="M5" i="5" s="1"/>
  <c r="N5" i="5" s="1"/>
  <c r="O5" i="5" s="1"/>
  <c r="P5" i="5" s="1"/>
  <c r="Q5" i="5" s="1"/>
  <c r="R5" i="5" s="1"/>
  <c r="S5" i="5" s="1"/>
  <c r="T5" i="5" s="1"/>
  <c r="U5" i="5" s="1"/>
  <c r="V5" i="5" s="1"/>
  <c r="W5" i="5" s="1"/>
  <c r="X5" i="5" s="1"/>
  <c r="Y5" i="5" s="1"/>
  <c r="Z5" i="5" s="1"/>
  <c r="AA5" i="5" s="1"/>
  <c r="AB5" i="5" s="1"/>
  <c r="AC5" i="5" s="1"/>
  <c r="AD5" i="5" s="1"/>
  <c r="AE5" i="5" s="1"/>
  <c r="AF5" i="5" s="1"/>
  <c r="AG5" i="5" s="1"/>
  <c r="AH5" i="5" s="1"/>
  <c r="AI5" i="5" s="1"/>
  <c r="AJ5" i="5" s="1"/>
  <c r="AK5" i="5" s="1"/>
  <c r="AL5" i="5" s="1"/>
  <c r="AM5" i="5" s="1"/>
  <c r="AN5" i="5" s="1"/>
  <c r="AO5" i="5" s="1"/>
  <c r="AP5" i="5" s="1"/>
  <c r="AQ5" i="5" s="1"/>
  <c r="AR5" i="5" s="1"/>
  <c r="F21" i="3"/>
  <c r="D23" i="3"/>
  <c r="E22" i="3"/>
  <c r="AS5" i="5" l="1"/>
  <c r="AT5" i="5" s="1"/>
  <c r="AU5" i="5" s="1"/>
  <c r="AV5" i="5" s="1"/>
  <c r="AW5" i="5" s="1"/>
  <c r="AX5" i="5" s="1"/>
  <c r="AY5" i="5" s="1"/>
  <c r="AZ5" i="5" s="1"/>
  <c r="BA5" i="5" s="1"/>
  <c r="BB5" i="5" s="1"/>
  <c r="BC5" i="5" s="1"/>
  <c r="E23" i="3"/>
  <c r="D24" i="3"/>
  <c r="E4" i="5"/>
  <c r="A6" i="5"/>
  <c r="E6" i="5" s="1"/>
  <c r="F6" i="5" s="1"/>
  <c r="G6" i="5" s="1"/>
  <c r="H6" i="5" s="1"/>
  <c r="I6" i="5" s="1"/>
  <c r="J6" i="5" s="1"/>
  <c r="K6" i="5" s="1"/>
  <c r="L6" i="5" s="1"/>
  <c r="M6" i="5" s="1"/>
  <c r="N6" i="5" s="1"/>
  <c r="O6" i="5" s="1"/>
  <c r="P6" i="5" s="1"/>
  <c r="Q6" i="5" s="1"/>
  <c r="R6" i="5" s="1"/>
  <c r="S6" i="5" s="1"/>
  <c r="F22" i="3"/>
  <c r="G21" i="3" l="1"/>
  <c r="BD5" i="5"/>
  <c r="BE5" i="5" s="1"/>
  <c r="BF5" i="5" s="1"/>
  <c r="BG5" i="5" s="1"/>
  <c r="BH5" i="5" s="1"/>
  <c r="T6" i="5"/>
  <c r="U6" i="5" s="1"/>
  <c r="V6" i="5" s="1"/>
  <c r="W6" i="5" s="1"/>
  <c r="X6" i="5" s="1"/>
  <c r="Y6" i="5" s="1"/>
  <c r="Z6" i="5" s="1"/>
  <c r="AA6" i="5" s="1"/>
  <c r="AB6" i="5" s="1"/>
  <c r="AC6" i="5" s="1"/>
  <c r="AD6" i="5" s="1"/>
  <c r="AE6" i="5" s="1"/>
  <c r="AF6" i="5" s="1"/>
  <c r="AG6" i="5" s="1"/>
  <c r="AH6" i="5" s="1"/>
  <c r="AI6" i="5" s="1"/>
  <c r="AJ6" i="5" s="1"/>
  <c r="AK6" i="5" s="1"/>
  <c r="AL6" i="5" s="1"/>
  <c r="AM6" i="5" s="1"/>
  <c r="AN6" i="5" s="1"/>
  <c r="AO6" i="5" s="1"/>
  <c r="AP6" i="5" s="1"/>
  <c r="AQ6" i="5" s="1"/>
  <c r="AR6" i="5" s="1"/>
  <c r="F4" i="5"/>
  <c r="E58" i="5"/>
  <c r="A7" i="5"/>
  <c r="F7" i="5" s="1"/>
  <c r="G7" i="5" s="1"/>
  <c r="H7" i="5" s="1"/>
  <c r="I7" i="5" s="1"/>
  <c r="J7" i="5" s="1"/>
  <c r="K7" i="5" s="1"/>
  <c r="L7" i="5" s="1"/>
  <c r="M7" i="5" s="1"/>
  <c r="N7" i="5" s="1"/>
  <c r="O7" i="5" s="1"/>
  <c r="P7" i="5" s="1"/>
  <c r="Q7" i="5" s="1"/>
  <c r="R7" i="5" s="1"/>
  <c r="S7" i="5" s="1"/>
  <c r="F23" i="3"/>
  <c r="E24" i="3"/>
  <c r="D25" i="3"/>
  <c r="AS6" i="5" l="1"/>
  <c r="AT6" i="5" s="1"/>
  <c r="AU6" i="5" s="1"/>
  <c r="AV6" i="5" s="1"/>
  <c r="AW6" i="5" s="1"/>
  <c r="AX6" i="5" s="1"/>
  <c r="AY6" i="5" s="1"/>
  <c r="AZ6" i="5" s="1"/>
  <c r="BA6" i="5" s="1"/>
  <c r="BB6" i="5" s="1"/>
  <c r="BC6" i="5" s="1"/>
  <c r="T7" i="5"/>
  <c r="U7" i="5" s="1"/>
  <c r="V7" i="5" s="1"/>
  <c r="W7" i="5" s="1"/>
  <c r="X7" i="5" s="1"/>
  <c r="Y7" i="5" s="1"/>
  <c r="Z7" i="5" s="1"/>
  <c r="AA7" i="5" s="1"/>
  <c r="AB7" i="5" s="1"/>
  <c r="AC7" i="5" s="1"/>
  <c r="AD7" i="5" s="1"/>
  <c r="AE7" i="5" s="1"/>
  <c r="AF7" i="5" s="1"/>
  <c r="AG7" i="5" s="1"/>
  <c r="AH7" i="5" s="1"/>
  <c r="AI7" i="5" s="1"/>
  <c r="AJ7" i="5" s="1"/>
  <c r="AK7" i="5" s="1"/>
  <c r="AL7" i="5" s="1"/>
  <c r="AM7" i="5" s="1"/>
  <c r="AN7" i="5" s="1"/>
  <c r="AO7" i="5" s="1"/>
  <c r="AP7" i="5" s="1"/>
  <c r="AQ7" i="5" s="1"/>
  <c r="AR7" i="5" s="1"/>
  <c r="D26" i="3"/>
  <c r="E25" i="3"/>
  <c r="A8" i="5"/>
  <c r="G8" i="5" s="1"/>
  <c r="H8" i="5" s="1"/>
  <c r="I8" i="5" s="1"/>
  <c r="J8" i="5" s="1"/>
  <c r="K8" i="5" s="1"/>
  <c r="L8" i="5" s="1"/>
  <c r="M8" i="5" s="1"/>
  <c r="N8" i="5" s="1"/>
  <c r="O8" i="5" s="1"/>
  <c r="P8" i="5" s="1"/>
  <c r="Q8" i="5" s="1"/>
  <c r="R8" i="5" s="1"/>
  <c r="S8" i="5" s="1"/>
  <c r="F24" i="3"/>
  <c r="G4" i="5"/>
  <c r="F58" i="5"/>
  <c r="G22" i="3" l="1"/>
  <c r="AS7" i="5"/>
  <c r="AT7" i="5" s="1"/>
  <c r="AU7" i="5" s="1"/>
  <c r="AV7" i="5" s="1"/>
  <c r="AW7" i="5" s="1"/>
  <c r="AX7" i="5" s="1"/>
  <c r="AY7" i="5" s="1"/>
  <c r="AZ7" i="5" s="1"/>
  <c r="BA7" i="5" s="1"/>
  <c r="BB7" i="5" s="1"/>
  <c r="BC7" i="5" s="1"/>
  <c r="BD6" i="5"/>
  <c r="BE6" i="5" s="1"/>
  <c r="BF6" i="5" s="1"/>
  <c r="BG6" i="5" s="1"/>
  <c r="BH6" i="5" s="1"/>
  <c r="T8" i="5"/>
  <c r="U8" i="5" s="1"/>
  <c r="V8" i="5" s="1"/>
  <c r="W8" i="5" s="1"/>
  <c r="X8" i="5" s="1"/>
  <c r="Y8" i="5" s="1"/>
  <c r="Z8" i="5" s="1"/>
  <c r="AA8" i="5" s="1"/>
  <c r="AB8" i="5" s="1"/>
  <c r="AC8" i="5" s="1"/>
  <c r="AD8" i="5" s="1"/>
  <c r="AE8" i="5" s="1"/>
  <c r="AF8" i="5" s="1"/>
  <c r="AG8" i="5" s="1"/>
  <c r="AH8" i="5" s="1"/>
  <c r="AI8" i="5" s="1"/>
  <c r="AJ8" i="5" s="1"/>
  <c r="AK8" i="5" s="1"/>
  <c r="AL8" i="5" s="1"/>
  <c r="AM8" i="5" s="1"/>
  <c r="AN8" i="5" s="1"/>
  <c r="AO8" i="5" s="1"/>
  <c r="AP8" i="5" s="1"/>
  <c r="AQ8" i="5" s="1"/>
  <c r="AR8" i="5" s="1"/>
  <c r="A9" i="5"/>
  <c r="H9" i="5" s="1"/>
  <c r="I9" i="5" s="1"/>
  <c r="J9" i="5" s="1"/>
  <c r="K9" i="5" s="1"/>
  <c r="L9" i="5" s="1"/>
  <c r="M9" i="5" s="1"/>
  <c r="N9" i="5" s="1"/>
  <c r="O9" i="5" s="1"/>
  <c r="P9" i="5" s="1"/>
  <c r="Q9" i="5" s="1"/>
  <c r="R9" i="5" s="1"/>
  <c r="S9" i="5" s="1"/>
  <c r="F25" i="3"/>
  <c r="D27" i="3"/>
  <c r="E26" i="3"/>
  <c r="H4" i="5"/>
  <c r="G58" i="5"/>
  <c r="G23" i="3" l="1"/>
  <c r="AS8" i="5"/>
  <c r="AT8" i="5" s="1"/>
  <c r="AU8" i="5" s="1"/>
  <c r="AV8" i="5" s="1"/>
  <c r="AW8" i="5" s="1"/>
  <c r="AX8" i="5" s="1"/>
  <c r="AY8" i="5" s="1"/>
  <c r="AZ8" i="5" s="1"/>
  <c r="BA8" i="5" s="1"/>
  <c r="BB8" i="5" s="1"/>
  <c r="BC8" i="5" s="1"/>
  <c r="BD7" i="5"/>
  <c r="BE7" i="5" s="1"/>
  <c r="BF7" i="5" s="1"/>
  <c r="BG7" i="5" s="1"/>
  <c r="BH7" i="5" s="1"/>
  <c r="I4" i="5"/>
  <c r="H58" i="5"/>
  <c r="T9" i="5"/>
  <c r="U9" i="5" s="1"/>
  <c r="V9" i="5" s="1"/>
  <c r="W9" i="5" s="1"/>
  <c r="X9" i="5" s="1"/>
  <c r="Y9" i="5" s="1"/>
  <c r="Z9" i="5" s="1"/>
  <c r="AA9" i="5" s="1"/>
  <c r="AB9" i="5" s="1"/>
  <c r="AC9" i="5" s="1"/>
  <c r="AD9" i="5" s="1"/>
  <c r="AE9" i="5" s="1"/>
  <c r="AF9" i="5" s="1"/>
  <c r="AG9" i="5" s="1"/>
  <c r="AH9" i="5" s="1"/>
  <c r="AI9" i="5" s="1"/>
  <c r="AJ9" i="5" s="1"/>
  <c r="AK9" i="5" s="1"/>
  <c r="AL9" i="5" s="1"/>
  <c r="AM9" i="5" s="1"/>
  <c r="AN9" i="5" s="1"/>
  <c r="AO9" i="5" s="1"/>
  <c r="AP9" i="5" s="1"/>
  <c r="AQ9" i="5" s="1"/>
  <c r="AR9" i="5" s="1"/>
  <c r="D28" i="3"/>
  <c r="E27" i="3"/>
  <c r="A10" i="5"/>
  <c r="I10" i="5" s="1"/>
  <c r="J10" i="5" s="1"/>
  <c r="K10" i="5" s="1"/>
  <c r="L10" i="5" s="1"/>
  <c r="M10" i="5" s="1"/>
  <c r="N10" i="5" s="1"/>
  <c r="O10" i="5" s="1"/>
  <c r="P10" i="5" s="1"/>
  <c r="Q10" i="5" s="1"/>
  <c r="R10" i="5" s="1"/>
  <c r="S10" i="5" s="1"/>
  <c r="F26" i="3"/>
  <c r="G24" i="3" l="1"/>
  <c r="AS9" i="5"/>
  <c r="AT9" i="5" s="1"/>
  <c r="AU9" i="5" s="1"/>
  <c r="AV9" i="5" s="1"/>
  <c r="AW9" i="5" s="1"/>
  <c r="AX9" i="5" s="1"/>
  <c r="AY9" i="5" s="1"/>
  <c r="AZ9" i="5" s="1"/>
  <c r="BA9" i="5" s="1"/>
  <c r="BB9" i="5" s="1"/>
  <c r="BC9" i="5" s="1"/>
  <c r="BD8" i="5"/>
  <c r="BE8" i="5" s="1"/>
  <c r="BF8" i="5" s="1"/>
  <c r="BG8" i="5" s="1"/>
  <c r="BH8" i="5" s="1"/>
  <c r="A11" i="5"/>
  <c r="J11" i="5" s="1"/>
  <c r="K11" i="5" s="1"/>
  <c r="L11" i="5" s="1"/>
  <c r="M11" i="5" s="1"/>
  <c r="N11" i="5" s="1"/>
  <c r="O11" i="5" s="1"/>
  <c r="P11" i="5" s="1"/>
  <c r="Q11" i="5" s="1"/>
  <c r="R11" i="5" s="1"/>
  <c r="S11" i="5" s="1"/>
  <c r="F27" i="3"/>
  <c r="E28" i="3"/>
  <c r="D29" i="3"/>
  <c r="J4" i="5"/>
  <c r="I58" i="5"/>
  <c r="T10" i="5"/>
  <c r="U10" i="5" s="1"/>
  <c r="V10" i="5" s="1"/>
  <c r="W10" i="5" s="1"/>
  <c r="X10" i="5" s="1"/>
  <c r="Y10" i="5" s="1"/>
  <c r="Z10" i="5" s="1"/>
  <c r="AA10" i="5" s="1"/>
  <c r="AB10" i="5" s="1"/>
  <c r="AC10" i="5" s="1"/>
  <c r="AD10" i="5" s="1"/>
  <c r="AE10" i="5" s="1"/>
  <c r="AF10" i="5" s="1"/>
  <c r="AG10" i="5" s="1"/>
  <c r="AH10" i="5" s="1"/>
  <c r="AI10" i="5" s="1"/>
  <c r="AJ10" i="5" s="1"/>
  <c r="AK10" i="5" s="1"/>
  <c r="AL10" i="5" s="1"/>
  <c r="AM10" i="5" s="1"/>
  <c r="AN10" i="5" s="1"/>
  <c r="AO10" i="5" s="1"/>
  <c r="AP10" i="5" s="1"/>
  <c r="AQ10" i="5" s="1"/>
  <c r="AR10" i="5" s="1"/>
  <c r="G25" i="3" l="1"/>
  <c r="AS10" i="5"/>
  <c r="AT10" i="5" s="1"/>
  <c r="AU10" i="5" s="1"/>
  <c r="AV10" i="5" s="1"/>
  <c r="AW10" i="5" s="1"/>
  <c r="AX10" i="5" s="1"/>
  <c r="AY10" i="5" s="1"/>
  <c r="AZ10" i="5" s="1"/>
  <c r="BA10" i="5" s="1"/>
  <c r="BB10" i="5" s="1"/>
  <c r="BC10" i="5" s="1"/>
  <c r="BD9" i="5"/>
  <c r="BE9" i="5" s="1"/>
  <c r="BF9" i="5" s="1"/>
  <c r="BG9" i="5" s="1"/>
  <c r="BH9" i="5" s="1"/>
  <c r="T11" i="5"/>
  <c r="U11" i="5" s="1"/>
  <c r="V11" i="5" s="1"/>
  <c r="W11" i="5" s="1"/>
  <c r="X11" i="5" s="1"/>
  <c r="Y11" i="5" s="1"/>
  <c r="Z11" i="5" s="1"/>
  <c r="AA11" i="5" s="1"/>
  <c r="AB11" i="5" s="1"/>
  <c r="AC11" i="5" s="1"/>
  <c r="AD11" i="5" s="1"/>
  <c r="AE11" i="5" s="1"/>
  <c r="AF11" i="5" s="1"/>
  <c r="AG11" i="5" s="1"/>
  <c r="AH11" i="5" s="1"/>
  <c r="AI11" i="5" s="1"/>
  <c r="AJ11" i="5" s="1"/>
  <c r="AK11" i="5" s="1"/>
  <c r="AL11" i="5" s="1"/>
  <c r="AM11" i="5" s="1"/>
  <c r="AN11" i="5" s="1"/>
  <c r="AO11" i="5" s="1"/>
  <c r="AP11" i="5" s="1"/>
  <c r="AQ11" i="5" s="1"/>
  <c r="AR11" i="5" s="1"/>
  <c r="E29" i="3"/>
  <c r="D30" i="3"/>
  <c r="A12" i="5"/>
  <c r="K12" i="5" s="1"/>
  <c r="L12" i="5" s="1"/>
  <c r="M12" i="5" s="1"/>
  <c r="N12" i="5" s="1"/>
  <c r="O12" i="5" s="1"/>
  <c r="P12" i="5" s="1"/>
  <c r="Q12" i="5" s="1"/>
  <c r="R12" i="5" s="1"/>
  <c r="S12" i="5" s="1"/>
  <c r="F28" i="3"/>
  <c r="K4" i="5"/>
  <c r="J58" i="5"/>
  <c r="G26" i="3" l="1"/>
  <c r="AS11" i="5"/>
  <c r="AT11" i="5" s="1"/>
  <c r="AU11" i="5" s="1"/>
  <c r="AV11" i="5" s="1"/>
  <c r="AW11" i="5" s="1"/>
  <c r="AX11" i="5" s="1"/>
  <c r="AY11" i="5" s="1"/>
  <c r="AZ11" i="5" s="1"/>
  <c r="BA11" i="5" s="1"/>
  <c r="BB11" i="5" s="1"/>
  <c r="BC11" i="5" s="1"/>
  <c r="BD10" i="5"/>
  <c r="BE10" i="5" s="1"/>
  <c r="BF10" i="5" s="1"/>
  <c r="BG10" i="5" s="1"/>
  <c r="BH10" i="5" s="1"/>
  <c r="D31" i="3"/>
  <c r="E30" i="3"/>
  <c r="T12" i="5"/>
  <c r="U12" i="5" s="1"/>
  <c r="V12" i="5" s="1"/>
  <c r="W12" i="5" s="1"/>
  <c r="X12" i="5" s="1"/>
  <c r="Y12" i="5" s="1"/>
  <c r="Z12" i="5" s="1"/>
  <c r="AA12" i="5" s="1"/>
  <c r="AB12" i="5" s="1"/>
  <c r="AC12" i="5" s="1"/>
  <c r="AD12" i="5" s="1"/>
  <c r="AE12" i="5" s="1"/>
  <c r="AF12" i="5" s="1"/>
  <c r="AG12" i="5" s="1"/>
  <c r="AH12" i="5" s="1"/>
  <c r="AI12" i="5" s="1"/>
  <c r="AJ12" i="5" s="1"/>
  <c r="AK12" i="5" s="1"/>
  <c r="AL12" i="5" s="1"/>
  <c r="AM12" i="5" s="1"/>
  <c r="AN12" i="5" s="1"/>
  <c r="AO12" i="5" s="1"/>
  <c r="AP12" i="5" s="1"/>
  <c r="AQ12" i="5" s="1"/>
  <c r="AR12" i="5" s="1"/>
  <c r="A13" i="5"/>
  <c r="L13" i="5" s="1"/>
  <c r="M13" i="5" s="1"/>
  <c r="N13" i="5" s="1"/>
  <c r="O13" i="5" s="1"/>
  <c r="P13" i="5" s="1"/>
  <c r="Q13" i="5" s="1"/>
  <c r="R13" i="5" s="1"/>
  <c r="S13" i="5" s="1"/>
  <c r="F29" i="3"/>
  <c r="L4" i="5"/>
  <c r="K58" i="5"/>
  <c r="G27" i="3" l="1"/>
  <c r="AS12" i="5"/>
  <c r="AT12" i="5" s="1"/>
  <c r="AU12" i="5" s="1"/>
  <c r="AV12" i="5" s="1"/>
  <c r="AW12" i="5" s="1"/>
  <c r="AX12" i="5" s="1"/>
  <c r="AY12" i="5" s="1"/>
  <c r="AZ12" i="5" s="1"/>
  <c r="BA12" i="5" s="1"/>
  <c r="BB12" i="5" s="1"/>
  <c r="BC12" i="5" s="1"/>
  <c r="BD11" i="5"/>
  <c r="BE11" i="5" s="1"/>
  <c r="BF11" i="5" s="1"/>
  <c r="BG11" i="5" s="1"/>
  <c r="BH11" i="5" s="1"/>
  <c r="E31" i="3"/>
  <c r="D32" i="3"/>
  <c r="M4" i="5"/>
  <c r="L58" i="5"/>
  <c r="T13" i="5"/>
  <c r="U13" i="5" s="1"/>
  <c r="V13" i="5" s="1"/>
  <c r="W13" i="5" s="1"/>
  <c r="X13" i="5" s="1"/>
  <c r="Y13" i="5" s="1"/>
  <c r="Z13" i="5" s="1"/>
  <c r="AA13" i="5" s="1"/>
  <c r="AB13" i="5" s="1"/>
  <c r="AC13" i="5" s="1"/>
  <c r="AD13" i="5" s="1"/>
  <c r="AE13" i="5" s="1"/>
  <c r="AF13" i="5" s="1"/>
  <c r="AG13" i="5" s="1"/>
  <c r="AH13" i="5" s="1"/>
  <c r="AI13" i="5" s="1"/>
  <c r="AJ13" i="5" s="1"/>
  <c r="AK13" i="5" s="1"/>
  <c r="AL13" i="5" s="1"/>
  <c r="AM13" i="5" s="1"/>
  <c r="AN13" i="5" s="1"/>
  <c r="AO13" i="5" s="1"/>
  <c r="AP13" i="5" s="1"/>
  <c r="AQ13" i="5" s="1"/>
  <c r="AR13" i="5" s="1"/>
  <c r="A14" i="5"/>
  <c r="M14" i="5" s="1"/>
  <c r="N14" i="5" s="1"/>
  <c r="O14" i="5" s="1"/>
  <c r="P14" i="5" s="1"/>
  <c r="Q14" i="5" s="1"/>
  <c r="R14" i="5" s="1"/>
  <c r="S14" i="5" s="1"/>
  <c r="F30" i="3"/>
  <c r="G28" i="3" l="1"/>
  <c r="AS13" i="5"/>
  <c r="AT13" i="5" s="1"/>
  <c r="AU13" i="5" s="1"/>
  <c r="AV13" i="5" s="1"/>
  <c r="AW13" i="5" s="1"/>
  <c r="AX13" i="5" s="1"/>
  <c r="AY13" i="5" s="1"/>
  <c r="AZ13" i="5" s="1"/>
  <c r="BA13" i="5" s="1"/>
  <c r="BB13" i="5" s="1"/>
  <c r="BC13" i="5" s="1"/>
  <c r="BD12" i="5"/>
  <c r="BE12" i="5" s="1"/>
  <c r="BF12" i="5" s="1"/>
  <c r="BG12" i="5" s="1"/>
  <c r="BH12" i="5" s="1"/>
  <c r="A15" i="5"/>
  <c r="N15" i="5" s="1"/>
  <c r="O15" i="5" s="1"/>
  <c r="P15" i="5" s="1"/>
  <c r="Q15" i="5" s="1"/>
  <c r="R15" i="5" s="1"/>
  <c r="S15" i="5" s="1"/>
  <c r="F31" i="3"/>
  <c r="T14" i="5"/>
  <c r="U14" i="5" s="1"/>
  <c r="V14" i="5" s="1"/>
  <c r="W14" i="5" s="1"/>
  <c r="X14" i="5" s="1"/>
  <c r="Y14" i="5" s="1"/>
  <c r="Z14" i="5" s="1"/>
  <c r="AA14" i="5" s="1"/>
  <c r="AB14" i="5" s="1"/>
  <c r="AC14" i="5" s="1"/>
  <c r="AD14" i="5" s="1"/>
  <c r="AE14" i="5" s="1"/>
  <c r="AF14" i="5" s="1"/>
  <c r="AG14" i="5" s="1"/>
  <c r="AH14" i="5" s="1"/>
  <c r="AI14" i="5" s="1"/>
  <c r="AJ14" i="5" s="1"/>
  <c r="AK14" i="5" s="1"/>
  <c r="AL14" i="5" s="1"/>
  <c r="AM14" i="5" s="1"/>
  <c r="AN14" i="5" s="1"/>
  <c r="AO14" i="5" s="1"/>
  <c r="AP14" i="5" s="1"/>
  <c r="AQ14" i="5" s="1"/>
  <c r="AR14" i="5" s="1"/>
  <c r="N4" i="5"/>
  <c r="M58" i="5"/>
  <c r="E32" i="3"/>
  <c r="D33" i="3"/>
  <c r="G29" i="3" l="1"/>
  <c r="AS14" i="5"/>
  <c r="AT14" i="5" s="1"/>
  <c r="AU14" i="5" s="1"/>
  <c r="AV14" i="5" s="1"/>
  <c r="AW14" i="5" s="1"/>
  <c r="AX14" i="5" s="1"/>
  <c r="AY14" i="5" s="1"/>
  <c r="AZ14" i="5" s="1"/>
  <c r="BA14" i="5" s="1"/>
  <c r="BB14" i="5" s="1"/>
  <c r="BC14" i="5" s="1"/>
  <c r="BD13" i="5"/>
  <c r="BE13" i="5" s="1"/>
  <c r="BF13" i="5" s="1"/>
  <c r="BG13" i="5" s="1"/>
  <c r="BH13" i="5" s="1"/>
  <c r="O4" i="5"/>
  <c r="N58" i="5"/>
  <c r="T15" i="5"/>
  <c r="U15" i="5" s="1"/>
  <c r="V15" i="5" s="1"/>
  <c r="W15" i="5" s="1"/>
  <c r="X15" i="5" s="1"/>
  <c r="Y15" i="5" s="1"/>
  <c r="Z15" i="5" s="1"/>
  <c r="AA15" i="5" s="1"/>
  <c r="AB15" i="5" s="1"/>
  <c r="AC15" i="5" s="1"/>
  <c r="AD15" i="5" s="1"/>
  <c r="AE15" i="5" s="1"/>
  <c r="AF15" i="5" s="1"/>
  <c r="AG15" i="5" s="1"/>
  <c r="AH15" i="5" s="1"/>
  <c r="AI15" i="5" s="1"/>
  <c r="AJ15" i="5" s="1"/>
  <c r="AK15" i="5" s="1"/>
  <c r="AL15" i="5" s="1"/>
  <c r="AM15" i="5" s="1"/>
  <c r="AN15" i="5" s="1"/>
  <c r="AO15" i="5" s="1"/>
  <c r="AP15" i="5" s="1"/>
  <c r="AQ15" i="5" s="1"/>
  <c r="AR15" i="5" s="1"/>
  <c r="D34" i="3"/>
  <c r="E33" i="3"/>
  <c r="F32" i="3"/>
  <c r="A16" i="5"/>
  <c r="O16" i="5" s="1"/>
  <c r="P16" i="5" s="1"/>
  <c r="Q16" i="5" s="1"/>
  <c r="R16" i="5" s="1"/>
  <c r="S16" i="5" s="1"/>
  <c r="G30" i="3" l="1"/>
  <c r="AS15" i="5"/>
  <c r="AT15" i="5" s="1"/>
  <c r="AU15" i="5" s="1"/>
  <c r="AV15" i="5" s="1"/>
  <c r="AW15" i="5" s="1"/>
  <c r="AX15" i="5" s="1"/>
  <c r="AY15" i="5" s="1"/>
  <c r="AZ15" i="5" s="1"/>
  <c r="BA15" i="5" s="1"/>
  <c r="BB15" i="5" s="1"/>
  <c r="BC15" i="5" s="1"/>
  <c r="BD14" i="5"/>
  <c r="BE14" i="5" s="1"/>
  <c r="BF14" i="5" s="1"/>
  <c r="BG14" i="5" s="1"/>
  <c r="BH14" i="5" s="1"/>
  <c r="D35" i="3"/>
  <c r="E34" i="3"/>
  <c r="A17" i="5"/>
  <c r="P17" i="5" s="1"/>
  <c r="Q17" i="5" s="1"/>
  <c r="R17" i="5" s="1"/>
  <c r="S17" i="5" s="1"/>
  <c r="F33" i="3"/>
  <c r="T16" i="5"/>
  <c r="U16" i="5" s="1"/>
  <c r="V16" i="5" s="1"/>
  <c r="W16" i="5" s="1"/>
  <c r="X16" i="5" s="1"/>
  <c r="Y16" i="5" s="1"/>
  <c r="Z16" i="5" s="1"/>
  <c r="AA16" i="5" s="1"/>
  <c r="AB16" i="5" s="1"/>
  <c r="AC16" i="5" s="1"/>
  <c r="AD16" i="5" s="1"/>
  <c r="AE16" i="5" s="1"/>
  <c r="AF16" i="5" s="1"/>
  <c r="AG16" i="5" s="1"/>
  <c r="AH16" i="5" s="1"/>
  <c r="AI16" i="5" s="1"/>
  <c r="AJ16" i="5" s="1"/>
  <c r="AK16" i="5" s="1"/>
  <c r="AL16" i="5" s="1"/>
  <c r="AM16" i="5" s="1"/>
  <c r="AN16" i="5" s="1"/>
  <c r="AO16" i="5" s="1"/>
  <c r="AP16" i="5" s="1"/>
  <c r="AQ16" i="5" s="1"/>
  <c r="AR16" i="5" s="1"/>
  <c r="P4" i="5"/>
  <c r="O58" i="5"/>
  <c r="G31" i="3" l="1"/>
  <c r="AS16" i="5"/>
  <c r="AT16" i="5" s="1"/>
  <c r="AU16" i="5" s="1"/>
  <c r="AV16" i="5" s="1"/>
  <c r="AW16" i="5" s="1"/>
  <c r="AX16" i="5" s="1"/>
  <c r="AY16" i="5" s="1"/>
  <c r="AZ16" i="5" s="1"/>
  <c r="BA16" i="5" s="1"/>
  <c r="BB16" i="5" s="1"/>
  <c r="BC16" i="5" s="1"/>
  <c r="BD15" i="5"/>
  <c r="BE15" i="5" s="1"/>
  <c r="BF15" i="5" s="1"/>
  <c r="BG15" i="5" s="1"/>
  <c r="BH15" i="5" s="1"/>
  <c r="D36" i="3"/>
  <c r="E35" i="3"/>
  <c r="Q4" i="5"/>
  <c r="P58" i="5"/>
  <c r="T17" i="5"/>
  <c r="U17" i="5" s="1"/>
  <c r="V17" i="5" s="1"/>
  <c r="W17" i="5" s="1"/>
  <c r="X17" i="5" s="1"/>
  <c r="Y17" i="5" s="1"/>
  <c r="Z17" i="5" s="1"/>
  <c r="AA17" i="5" s="1"/>
  <c r="AB17" i="5" s="1"/>
  <c r="AC17" i="5" s="1"/>
  <c r="AD17" i="5" s="1"/>
  <c r="AE17" i="5" s="1"/>
  <c r="AF17" i="5" s="1"/>
  <c r="AG17" i="5" s="1"/>
  <c r="AH17" i="5" s="1"/>
  <c r="AI17" i="5" s="1"/>
  <c r="AJ17" i="5" s="1"/>
  <c r="AK17" i="5" s="1"/>
  <c r="AL17" i="5" s="1"/>
  <c r="AM17" i="5" s="1"/>
  <c r="AN17" i="5" s="1"/>
  <c r="AO17" i="5" s="1"/>
  <c r="AP17" i="5" s="1"/>
  <c r="AQ17" i="5" s="1"/>
  <c r="AR17" i="5" s="1"/>
  <c r="F34" i="3"/>
  <c r="A18" i="5"/>
  <c r="Q18" i="5" s="1"/>
  <c r="R18" i="5" s="1"/>
  <c r="S18" i="5" s="1"/>
  <c r="G32" i="3" l="1"/>
  <c r="AS17" i="5"/>
  <c r="AT17" i="5" s="1"/>
  <c r="AU17" i="5" s="1"/>
  <c r="AV17" i="5" s="1"/>
  <c r="AW17" i="5" s="1"/>
  <c r="AX17" i="5" s="1"/>
  <c r="AY17" i="5" s="1"/>
  <c r="AZ17" i="5" s="1"/>
  <c r="BA17" i="5" s="1"/>
  <c r="BB17" i="5" s="1"/>
  <c r="BC17" i="5" s="1"/>
  <c r="BD16" i="5"/>
  <c r="BE16" i="5" s="1"/>
  <c r="BF16" i="5" s="1"/>
  <c r="BG16" i="5" s="1"/>
  <c r="BH16" i="5" s="1"/>
  <c r="T18" i="5"/>
  <c r="U18" i="5" s="1"/>
  <c r="V18" i="5" s="1"/>
  <c r="W18" i="5" s="1"/>
  <c r="X18" i="5" s="1"/>
  <c r="Y18" i="5" s="1"/>
  <c r="Z18" i="5" s="1"/>
  <c r="AA18" i="5" s="1"/>
  <c r="AB18" i="5" s="1"/>
  <c r="AC18" i="5" s="1"/>
  <c r="AD18" i="5" s="1"/>
  <c r="AE18" i="5" s="1"/>
  <c r="AF18" i="5" s="1"/>
  <c r="AG18" i="5" s="1"/>
  <c r="AH18" i="5" s="1"/>
  <c r="AI18" i="5" s="1"/>
  <c r="AJ18" i="5" s="1"/>
  <c r="AK18" i="5" s="1"/>
  <c r="AL18" i="5" s="1"/>
  <c r="AM18" i="5" s="1"/>
  <c r="AN18" i="5" s="1"/>
  <c r="AO18" i="5" s="1"/>
  <c r="AP18" i="5" s="1"/>
  <c r="AQ18" i="5" s="1"/>
  <c r="AR18" i="5" s="1"/>
  <c r="E36" i="3"/>
  <c r="D37" i="3"/>
  <c r="R4" i="5"/>
  <c r="Q58" i="5"/>
  <c r="A19" i="5"/>
  <c r="R19" i="5" s="1"/>
  <c r="S19" i="5" s="1"/>
  <c r="F35" i="3"/>
  <c r="G33" i="3" l="1"/>
  <c r="AS18" i="5"/>
  <c r="AT18" i="5" s="1"/>
  <c r="AU18" i="5" s="1"/>
  <c r="AV18" i="5" s="1"/>
  <c r="AW18" i="5" s="1"/>
  <c r="AX18" i="5" s="1"/>
  <c r="AY18" i="5" s="1"/>
  <c r="AZ18" i="5" s="1"/>
  <c r="BA18" i="5" s="1"/>
  <c r="BB18" i="5" s="1"/>
  <c r="BC18" i="5" s="1"/>
  <c r="BD17" i="5"/>
  <c r="BE17" i="5" s="1"/>
  <c r="BF17" i="5" s="1"/>
  <c r="BG17" i="5" s="1"/>
  <c r="BH17" i="5" s="1"/>
  <c r="T19" i="5"/>
  <c r="U19" i="5" s="1"/>
  <c r="V19" i="5" s="1"/>
  <c r="W19" i="5" s="1"/>
  <c r="X19" i="5" s="1"/>
  <c r="Y19" i="5" s="1"/>
  <c r="Z19" i="5" s="1"/>
  <c r="AA19" i="5" s="1"/>
  <c r="AB19" i="5" s="1"/>
  <c r="AC19" i="5" s="1"/>
  <c r="AD19" i="5" s="1"/>
  <c r="AE19" i="5" s="1"/>
  <c r="AF19" i="5" s="1"/>
  <c r="AG19" i="5" s="1"/>
  <c r="AH19" i="5" s="1"/>
  <c r="AI19" i="5" s="1"/>
  <c r="AJ19" i="5" s="1"/>
  <c r="AK19" i="5" s="1"/>
  <c r="AL19" i="5" s="1"/>
  <c r="AM19" i="5" s="1"/>
  <c r="AN19" i="5" s="1"/>
  <c r="AO19" i="5" s="1"/>
  <c r="AP19" i="5" s="1"/>
  <c r="AQ19" i="5" s="1"/>
  <c r="AR19" i="5" s="1"/>
  <c r="E37" i="3"/>
  <c r="D38" i="3"/>
  <c r="A20" i="5"/>
  <c r="S20" i="5" s="1"/>
  <c r="F36" i="3"/>
  <c r="S4" i="5"/>
  <c r="R58" i="5"/>
  <c r="G34" i="3" l="1"/>
  <c r="AS19" i="5"/>
  <c r="AT19" i="5" s="1"/>
  <c r="AU19" i="5" s="1"/>
  <c r="AV19" i="5" s="1"/>
  <c r="AW19" i="5" s="1"/>
  <c r="AX19" i="5" s="1"/>
  <c r="AY19" i="5" s="1"/>
  <c r="AZ19" i="5" s="1"/>
  <c r="BA19" i="5" s="1"/>
  <c r="BB19" i="5" s="1"/>
  <c r="BC19" i="5" s="1"/>
  <c r="BD18" i="5"/>
  <c r="BE18" i="5" s="1"/>
  <c r="BF18" i="5" s="1"/>
  <c r="BG18" i="5" s="1"/>
  <c r="BH18" i="5" s="1"/>
  <c r="T4" i="5"/>
  <c r="S58" i="5"/>
  <c r="A21" i="5"/>
  <c r="T21" i="5" s="1"/>
  <c r="U21" i="5" s="1"/>
  <c r="V21" i="5" s="1"/>
  <c r="W21" i="5" s="1"/>
  <c r="X21" i="5" s="1"/>
  <c r="Y21" i="5" s="1"/>
  <c r="F37" i="3"/>
  <c r="D39" i="3"/>
  <c r="E38" i="3"/>
  <c r="T20" i="5"/>
  <c r="U20" i="5" s="1"/>
  <c r="V20" i="5" s="1"/>
  <c r="W20" i="5" s="1"/>
  <c r="X20" i="5" s="1"/>
  <c r="Y20" i="5" s="1"/>
  <c r="Z20" i="5" s="1"/>
  <c r="AA20" i="5" s="1"/>
  <c r="AB20" i="5" s="1"/>
  <c r="AC20" i="5" s="1"/>
  <c r="AD20" i="5" s="1"/>
  <c r="AE20" i="5" s="1"/>
  <c r="AF20" i="5" s="1"/>
  <c r="AG20" i="5" s="1"/>
  <c r="AH20" i="5" s="1"/>
  <c r="AI20" i="5" s="1"/>
  <c r="AJ20" i="5" s="1"/>
  <c r="AK20" i="5" s="1"/>
  <c r="AL20" i="5" s="1"/>
  <c r="AM20" i="5" s="1"/>
  <c r="AN20" i="5" s="1"/>
  <c r="AO20" i="5" s="1"/>
  <c r="AP20" i="5" s="1"/>
  <c r="AQ20" i="5" s="1"/>
  <c r="AR20" i="5" s="1"/>
  <c r="G35" i="3" l="1"/>
  <c r="AS20" i="5"/>
  <c r="AT20" i="5" s="1"/>
  <c r="AU20" i="5" s="1"/>
  <c r="AV20" i="5" s="1"/>
  <c r="AW20" i="5" s="1"/>
  <c r="AX20" i="5" s="1"/>
  <c r="AY20" i="5" s="1"/>
  <c r="AZ20" i="5" s="1"/>
  <c r="BA20" i="5" s="1"/>
  <c r="BD19" i="5"/>
  <c r="BE19" i="5" s="1"/>
  <c r="BF19" i="5" s="1"/>
  <c r="BG19" i="5" s="1"/>
  <c r="BH19" i="5" s="1"/>
  <c r="D58" i="5"/>
  <c r="Z21" i="5"/>
  <c r="AA21" i="5" s="1"/>
  <c r="AB21" i="5" s="1"/>
  <c r="AC21" i="5" s="1"/>
  <c r="AD21" i="5" s="1"/>
  <c r="AE21" i="5" s="1"/>
  <c r="AF21" i="5" s="1"/>
  <c r="AG21" i="5" s="1"/>
  <c r="AH21" i="5" s="1"/>
  <c r="AI21" i="5" s="1"/>
  <c r="AJ21" i="5" s="1"/>
  <c r="AK21" i="5" s="1"/>
  <c r="AL21" i="5" s="1"/>
  <c r="AM21" i="5" s="1"/>
  <c r="AN21" i="5" s="1"/>
  <c r="AO21" i="5" s="1"/>
  <c r="AP21" i="5" s="1"/>
  <c r="AQ21" i="5" s="1"/>
  <c r="AR21" i="5" s="1"/>
  <c r="E39" i="3"/>
  <c r="D40" i="3"/>
  <c r="U4" i="5"/>
  <c r="T58" i="5"/>
  <c r="A22" i="5"/>
  <c r="U22" i="5" s="1"/>
  <c r="V22" i="5" s="1"/>
  <c r="W22" i="5" s="1"/>
  <c r="X22" i="5" s="1"/>
  <c r="Y22" i="5" s="1"/>
  <c r="F38" i="3"/>
  <c r="AS21" i="5" l="1"/>
  <c r="AT21" i="5" s="1"/>
  <c r="AU21" i="5" s="1"/>
  <c r="AV21" i="5" s="1"/>
  <c r="AW21" i="5" s="1"/>
  <c r="AX21" i="5" s="1"/>
  <c r="AY21" i="5" s="1"/>
  <c r="AZ21" i="5" s="1"/>
  <c r="BA21" i="5" s="1"/>
  <c r="BB21" i="5" s="1"/>
  <c r="BC21" i="5" s="1"/>
  <c r="BB20" i="5"/>
  <c r="BC20" i="5" s="1"/>
  <c r="G36" i="3" s="1"/>
  <c r="Z22" i="5"/>
  <c r="AA22" i="5" s="1"/>
  <c r="AB22" i="5" s="1"/>
  <c r="AC22" i="5" s="1"/>
  <c r="AD22" i="5" s="1"/>
  <c r="AE22" i="5" s="1"/>
  <c r="AF22" i="5" s="1"/>
  <c r="AG22" i="5" s="1"/>
  <c r="AH22" i="5" s="1"/>
  <c r="AI22" i="5" s="1"/>
  <c r="AJ22" i="5" s="1"/>
  <c r="AK22" i="5" s="1"/>
  <c r="AL22" i="5" s="1"/>
  <c r="AM22" i="5" s="1"/>
  <c r="AN22" i="5" s="1"/>
  <c r="AO22" i="5" s="1"/>
  <c r="AP22" i="5" s="1"/>
  <c r="AQ22" i="5" s="1"/>
  <c r="AR22" i="5" s="1"/>
  <c r="E40" i="3"/>
  <c r="D41" i="3"/>
  <c r="A23" i="5"/>
  <c r="V23" i="5" s="1"/>
  <c r="W23" i="5" s="1"/>
  <c r="X23" i="5" s="1"/>
  <c r="Y23" i="5" s="1"/>
  <c r="F39" i="3"/>
  <c r="V4" i="5"/>
  <c r="U58" i="5"/>
  <c r="G37" i="3" l="1"/>
  <c r="AS22" i="5"/>
  <c r="AT22" i="5" s="1"/>
  <c r="AU22" i="5" s="1"/>
  <c r="AV22" i="5" s="1"/>
  <c r="AW22" i="5" s="1"/>
  <c r="AX22" i="5" s="1"/>
  <c r="AY22" i="5" s="1"/>
  <c r="AZ22" i="5" s="1"/>
  <c r="BA22" i="5" s="1"/>
  <c r="BB22" i="5" s="1"/>
  <c r="BC22" i="5" s="1"/>
  <c r="BD20" i="5"/>
  <c r="BE20" i="5" s="1"/>
  <c r="BF20" i="5" s="1"/>
  <c r="BG20" i="5" s="1"/>
  <c r="BH20" i="5" s="1"/>
  <c r="BD21" i="5"/>
  <c r="BE21" i="5" s="1"/>
  <c r="BF21" i="5" s="1"/>
  <c r="BG21" i="5" s="1"/>
  <c r="BH21" i="5" s="1"/>
  <c r="Z23" i="5"/>
  <c r="AA23" i="5" s="1"/>
  <c r="AB23" i="5" s="1"/>
  <c r="AC23" i="5" s="1"/>
  <c r="AD23" i="5" s="1"/>
  <c r="AE23" i="5" s="1"/>
  <c r="AF23" i="5" s="1"/>
  <c r="AG23" i="5" s="1"/>
  <c r="AH23" i="5" s="1"/>
  <c r="AI23" i="5" s="1"/>
  <c r="AJ23" i="5" s="1"/>
  <c r="AK23" i="5" s="1"/>
  <c r="AL23" i="5" s="1"/>
  <c r="AM23" i="5" s="1"/>
  <c r="AN23" i="5" s="1"/>
  <c r="AO23" i="5" s="1"/>
  <c r="AP23" i="5" s="1"/>
  <c r="AQ23" i="5" s="1"/>
  <c r="AR23" i="5" s="1"/>
  <c r="A24" i="5"/>
  <c r="W24" i="5" s="1"/>
  <c r="X24" i="5" s="1"/>
  <c r="Y24" i="5" s="1"/>
  <c r="F40" i="3"/>
  <c r="W4" i="5"/>
  <c r="V58" i="5"/>
  <c r="D42" i="3"/>
  <c r="E41" i="3"/>
  <c r="G38" i="3" l="1"/>
  <c r="AS23" i="5"/>
  <c r="AT23" i="5" s="1"/>
  <c r="AU23" i="5" s="1"/>
  <c r="AV23" i="5" s="1"/>
  <c r="AW23" i="5" s="1"/>
  <c r="AX23" i="5" s="1"/>
  <c r="AY23" i="5" s="1"/>
  <c r="AZ23" i="5" s="1"/>
  <c r="BA23" i="5" s="1"/>
  <c r="BB23" i="5" s="1"/>
  <c r="BC23" i="5" s="1"/>
  <c r="BD22" i="5"/>
  <c r="BE22" i="5" s="1"/>
  <c r="BF22" i="5" s="1"/>
  <c r="BG22" i="5" s="1"/>
  <c r="BH22" i="5" s="1"/>
  <c r="Z24" i="5"/>
  <c r="AA24" i="5" s="1"/>
  <c r="AB24" i="5" s="1"/>
  <c r="AC24" i="5" s="1"/>
  <c r="AD24" i="5" s="1"/>
  <c r="AE24" i="5" s="1"/>
  <c r="AF24" i="5" s="1"/>
  <c r="AG24" i="5" s="1"/>
  <c r="AH24" i="5" s="1"/>
  <c r="AI24" i="5" s="1"/>
  <c r="AJ24" i="5" s="1"/>
  <c r="AK24" i="5" s="1"/>
  <c r="AL24" i="5" s="1"/>
  <c r="AM24" i="5" s="1"/>
  <c r="AN24" i="5" s="1"/>
  <c r="AO24" i="5" s="1"/>
  <c r="AP24" i="5" s="1"/>
  <c r="AQ24" i="5" s="1"/>
  <c r="AR24" i="5" s="1"/>
  <c r="D43" i="3"/>
  <c r="E42" i="3"/>
  <c r="X4" i="5"/>
  <c r="W58" i="5"/>
  <c r="A25" i="5"/>
  <c r="X25" i="5" s="1"/>
  <c r="Y25" i="5" s="1"/>
  <c r="F41" i="3"/>
  <c r="G39" i="3" l="1"/>
  <c r="AS24" i="5"/>
  <c r="AT24" i="5" s="1"/>
  <c r="AU24" i="5" s="1"/>
  <c r="AV24" i="5" s="1"/>
  <c r="AW24" i="5" s="1"/>
  <c r="AX24" i="5" s="1"/>
  <c r="AY24" i="5" s="1"/>
  <c r="AZ24" i="5" s="1"/>
  <c r="BA24" i="5" s="1"/>
  <c r="BB24" i="5" s="1"/>
  <c r="BC24" i="5" s="1"/>
  <c r="BD23" i="5"/>
  <c r="BE23" i="5" s="1"/>
  <c r="BF23" i="5" s="1"/>
  <c r="BG23" i="5" s="1"/>
  <c r="BH23" i="5" s="1"/>
  <c r="Z25" i="5"/>
  <c r="AA25" i="5" s="1"/>
  <c r="AB25" i="5" s="1"/>
  <c r="AC25" i="5" s="1"/>
  <c r="AD25" i="5" s="1"/>
  <c r="AE25" i="5" s="1"/>
  <c r="AF25" i="5" s="1"/>
  <c r="AG25" i="5" s="1"/>
  <c r="AH25" i="5" s="1"/>
  <c r="AI25" i="5" s="1"/>
  <c r="AJ25" i="5" s="1"/>
  <c r="AK25" i="5" s="1"/>
  <c r="AL25" i="5" s="1"/>
  <c r="AM25" i="5" s="1"/>
  <c r="AN25" i="5" s="1"/>
  <c r="AO25" i="5" s="1"/>
  <c r="AP25" i="5" s="1"/>
  <c r="AQ25" i="5" s="1"/>
  <c r="AR25" i="5" s="1"/>
  <c r="E43" i="3"/>
  <c r="D44" i="3"/>
  <c r="Y4" i="5"/>
  <c r="X58" i="5"/>
  <c r="A26" i="5"/>
  <c r="Y26" i="5" s="1"/>
  <c r="F42" i="3"/>
  <c r="G40" i="3" l="1"/>
  <c r="AS25" i="5"/>
  <c r="AT25" i="5" s="1"/>
  <c r="AU25" i="5" s="1"/>
  <c r="AV25" i="5" s="1"/>
  <c r="AW25" i="5" s="1"/>
  <c r="AX25" i="5" s="1"/>
  <c r="AY25" i="5" s="1"/>
  <c r="AZ25" i="5" s="1"/>
  <c r="BA25" i="5" s="1"/>
  <c r="BB25" i="5" s="1"/>
  <c r="BC25" i="5" s="1"/>
  <c r="BD24" i="5"/>
  <c r="BE24" i="5" s="1"/>
  <c r="BF24" i="5" s="1"/>
  <c r="BG24" i="5" s="1"/>
  <c r="BH24" i="5" s="1"/>
  <c r="Z26" i="5"/>
  <c r="AA26" i="5" s="1"/>
  <c r="AB26" i="5" s="1"/>
  <c r="AC26" i="5" s="1"/>
  <c r="AD26" i="5" s="1"/>
  <c r="AE26" i="5" s="1"/>
  <c r="AF26" i="5" s="1"/>
  <c r="AG26" i="5" s="1"/>
  <c r="AH26" i="5" s="1"/>
  <c r="AI26" i="5" s="1"/>
  <c r="AJ26" i="5" s="1"/>
  <c r="AK26" i="5" s="1"/>
  <c r="AL26" i="5" s="1"/>
  <c r="AM26" i="5" s="1"/>
  <c r="AN26" i="5" s="1"/>
  <c r="AO26" i="5" s="1"/>
  <c r="AP26" i="5" s="1"/>
  <c r="AQ26" i="5" s="1"/>
  <c r="AR26" i="5" s="1"/>
  <c r="A27" i="5"/>
  <c r="Z27" i="5" s="1"/>
  <c r="AA27" i="5" s="1"/>
  <c r="AB27" i="5" s="1"/>
  <c r="AC27" i="5" s="1"/>
  <c r="AD27" i="5" s="1"/>
  <c r="AE27" i="5" s="1"/>
  <c r="AF27" i="5" s="1"/>
  <c r="AG27" i="5" s="1"/>
  <c r="AH27" i="5" s="1"/>
  <c r="AI27" i="5" s="1"/>
  <c r="F43" i="3"/>
  <c r="Z4" i="5"/>
  <c r="Y58" i="5"/>
  <c r="D45" i="3"/>
  <c r="E44" i="3"/>
  <c r="G41" i="3" l="1"/>
  <c r="AS26" i="5"/>
  <c r="AT26" i="5" s="1"/>
  <c r="AU26" i="5" s="1"/>
  <c r="AV26" i="5" s="1"/>
  <c r="AW26" i="5" s="1"/>
  <c r="AX26" i="5" s="1"/>
  <c r="AY26" i="5" s="1"/>
  <c r="AZ26" i="5" s="1"/>
  <c r="BA26" i="5" s="1"/>
  <c r="BB26" i="5" s="1"/>
  <c r="BC26" i="5" s="1"/>
  <c r="BD25" i="5"/>
  <c r="BE25" i="5" s="1"/>
  <c r="BF25" i="5" s="1"/>
  <c r="BG25" i="5" s="1"/>
  <c r="BH25" i="5" s="1"/>
  <c r="AJ27" i="5"/>
  <c r="AK27" i="5" s="1"/>
  <c r="AL27" i="5" s="1"/>
  <c r="AM27" i="5" s="1"/>
  <c r="AN27" i="5" s="1"/>
  <c r="AO27" i="5" s="1"/>
  <c r="AP27" i="5" s="1"/>
  <c r="AQ27" i="5" s="1"/>
  <c r="AR27" i="5" s="1"/>
  <c r="E45" i="3"/>
  <c r="D46" i="3"/>
  <c r="AA4" i="5"/>
  <c r="Z58" i="5"/>
  <c r="A28" i="5"/>
  <c r="AA28" i="5" s="1"/>
  <c r="AB28" i="5" s="1"/>
  <c r="AC28" i="5" s="1"/>
  <c r="AD28" i="5" s="1"/>
  <c r="AE28" i="5" s="1"/>
  <c r="AF28" i="5" s="1"/>
  <c r="AG28" i="5" s="1"/>
  <c r="AH28" i="5" s="1"/>
  <c r="AI28" i="5" s="1"/>
  <c r="F44" i="3"/>
  <c r="G42" i="3" l="1"/>
  <c r="AS27" i="5"/>
  <c r="AT27" i="5" s="1"/>
  <c r="AU27" i="5" s="1"/>
  <c r="AV27" i="5" s="1"/>
  <c r="AW27" i="5" s="1"/>
  <c r="AX27" i="5" s="1"/>
  <c r="AY27" i="5" s="1"/>
  <c r="AZ27" i="5" s="1"/>
  <c r="BA27" i="5" s="1"/>
  <c r="BB27" i="5" s="1"/>
  <c r="BC27" i="5" s="1"/>
  <c r="BD26" i="5"/>
  <c r="BE26" i="5" s="1"/>
  <c r="BF26" i="5" s="1"/>
  <c r="BG26" i="5" s="1"/>
  <c r="BH26" i="5" s="1"/>
  <c r="AJ28" i="5"/>
  <c r="AK28" i="5" s="1"/>
  <c r="AL28" i="5" s="1"/>
  <c r="AM28" i="5" s="1"/>
  <c r="AN28" i="5" s="1"/>
  <c r="AO28" i="5" s="1"/>
  <c r="AP28" i="5" s="1"/>
  <c r="AQ28" i="5" s="1"/>
  <c r="AR28" i="5" s="1"/>
  <c r="F45" i="3"/>
  <c r="A29" i="5"/>
  <c r="AB29" i="5" s="1"/>
  <c r="AC29" i="5" s="1"/>
  <c r="AD29" i="5" s="1"/>
  <c r="AE29" i="5" s="1"/>
  <c r="AF29" i="5" s="1"/>
  <c r="AG29" i="5" s="1"/>
  <c r="AH29" i="5" s="1"/>
  <c r="AI29" i="5" s="1"/>
  <c r="AB4" i="5"/>
  <c r="AA58" i="5"/>
  <c r="E46" i="3"/>
  <c r="D47" i="3"/>
  <c r="G43" i="3" l="1"/>
  <c r="AS28" i="5"/>
  <c r="AT28" i="5" s="1"/>
  <c r="AU28" i="5" s="1"/>
  <c r="AV28" i="5" s="1"/>
  <c r="AW28" i="5" s="1"/>
  <c r="AX28" i="5" s="1"/>
  <c r="AY28" i="5" s="1"/>
  <c r="AZ28" i="5" s="1"/>
  <c r="BA28" i="5" s="1"/>
  <c r="BB28" i="5" s="1"/>
  <c r="BC28" i="5" s="1"/>
  <c r="BD27" i="5"/>
  <c r="BE27" i="5" s="1"/>
  <c r="BF27" i="5" s="1"/>
  <c r="BG27" i="5" s="1"/>
  <c r="BH27" i="5" s="1"/>
  <c r="AJ29" i="5"/>
  <c r="AK29" i="5" s="1"/>
  <c r="AL29" i="5" s="1"/>
  <c r="AM29" i="5" s="1"/>
  <c r="AN29" i="5" s="1"/>
  <c r="AO29" i="5" s="1"/>
  <c r="AP29" i="5" s="1"/>
  <c r="AQ29" i="5" s="1"/>
  <c r="AR29" i="5" s="1"/>
  <c r="F46" i="3"/>
  <c r="A30" i="5"/>
  <c r="AC30" i="5" s="1"/>
  <c r="AD30" i="5" s="1"/>
  <c r="AE30" i="5" s="1"/>
  <c r="AF30" i="5" s="1"/>
  <c r="AG30" i="5" s="1"/>
  <c r="AH30" i="5" s="1"/>
  <c r="AI30" i="5" s="1"/>
  <c r="D48" i="3"/>
  <c r="E47" i="3"/>
  <c r="AC4" i="5"/>
  <c r="AB58" i="5"/>
  <c r="G44" i="3" l="1"/>
  <c r="AS29" i="5"/>
  <c r="AT29" i="5" s="1"/>
  <c r="AU29" i="5" s="1"/>
  <c r="AV29" i="5" s="1"/>
  <c r="AW29" i="5" s="1"/>
  <c r="AX29" i="5" s="1"/>
  <c r="AY29" i="5" s="1"/>
  <c r="AZ29" i="5" s="1"/>
  <c r="BA29" i="5" s="1"/>
  <c r="BD28" i="5"/>
  <c r="BE28" i="5" s="1"/>
  <c r="BF28" i="5" s="1"/>
  <c r="BG28" i="5" s="1"/>
  <c r="BH28" i="5" s="1"/>
  <c r="AJ30" i="5"/>
  <c r="AK30" i="5" s="1"/>
  <c r="AL30" i="5" s="1"/>
  <c r="AM30" i="5" s="1"/>
  <c r="AN30" i="5" s="1"/>
  <c r="AO30" i="5" s="1"/>
  <c r="AP30" i="5" s="1"/>
  <c r="AQ30" i="5" s="1"/>
  <c r="AR30" i="5" s="1"/>
  <c r="AD4" i="5"/>
  <c r="AC58" i="5"/>
  <c r="A31" i="5"/>
  <c r="AD31" i="5" s="1"/>
  <c r="AE31" i="5" s="1"/>
  <c r="AF31" i="5" s="1"/>
  <c r="AG31" i="5" s="1"/>
  <c r="AH31" i="5" s="1"/>
  <c r="AI31" i="5" s="1"/>
  <c r="F47" i="3"/>
  <c r="D49" i="3"/>
  <c r="E48" i="3"/>
  <c r="AS30" i="5" l="1"/>
  <c r="AT30" i="5" s="1"/>
  <c r="AU30" i="5" s="1"/>
  <c r="AV30" i="5" s="1"/>
  <c r="AW30" i="5" s="1"/>
  <c r="AX30" i="5" s="1"/>
  <c r="AY30" i="5" s="1"/>
  <c r="AZ30" i="5" s="1"/>
  <c r="BA30" i="5" s="1"/>
  <c r="BB29" i="5"/>
  <c r="BC29" i="5" s="1"/>
  <c r="G45" i="3" s="1"/>
  <c r="AJ31" i="5"/>
  <c r="AK31" i="5" s="1"/>
  <c r="AL31" i="5" s="1"/>
  <c r="AM31" i="5" s="1"/>
  <c r="AN31" i="5" s="1"/>
  <c r="AO31" i="5" s="1"/>
  <c r="AP31" i="5" s="1"/>
  <c r="AQ31" i="5" s="1"/>
  <c r="AR31" i="5" s="1"/>
  <c r="D50" i="3"/>
  <c r="E49" i="3"/>
  <c r="A32" i="5"/>
  <c r="AE32" i="5" s="1"/>
  <c r="AF32" i="5" s="1"/>
  <c r="AG32" i="5" s="1"/>
  <c r="AH32" i="5" s="1"/>
  <c r="AI32" i="5" s="1"/>
  <c r="F48" i="3"/>
  <c r="AE4" i="5"/>
  <c r="AD58" i="5"/>
  <c r="AS31" i="5" l="1"/>
  <c r="AT31" i="5" s="1"/>
  <c r="AU31" i="5" s="1"/>
  <c r="AV31" i="5" s="1"/>
  <c r="AW31" i="5" s="1"/>
  <c r="AX31" i="5" s="1"/>
  <c r="AY31" i="5" s="1"/>
  <c r="AZ31" i="5" s="1"/>
  <c r="BA31" i="5" s="1"/>
  <c r="BD29" i="5"/>
  <c r="BE29" i="5" s="1"/>
  <c r="BF29" i="5" s="1"/>
  <c r="BG29" i="5" s="1"/>
  <c r="BH29" i="5" s="1"/>
  <c r="BB30" i="5"/>
  <c r="BC30" i="5" s="1"/>
  <c r="G46" i="3" s="1"/>
  <c r="E50" i="3"/>
  <c r="E51" i="3" s="1"/>
  <c r="AJ32" i="5"/>
  <c r="AK32" i="5" s="1"/>
  <c r="AL32" i="5" s="1"/>
  <c r="AM32" i="5" s="1"/>
  <c r="AN32" i="5" s="1"/>
  <c r="AO32" i="5" s="1"/>
  <c r="AP32" i="5" s="1"/>
  <c r="AQ32" i="5" s="1"/>
  <c r="AR32" i="5" s="1"/>
  <c r="D51" i="3"/>
  <c r="AF4" i="5"/>
  <c r="AE58" i="5"/>
  <c r="A33" i="5"/>
  <c r="AF33" i="5" s="1"/>
  <c r="AG33" i="5" s="1"/>
  <c r="AH33" i="5" s="1"/>
  <c r="AI33" i="5" s="1"/>
  <c r="F49" i="3"/>
  <c r="AS32" i="5" l="1"/>
  <c r="AT32" i="5" s="1"/>
  <c r="AU32" i="5" s="1"/>
  <c r="AV32" i="5" s="1"/>
  <c r="AW32" i="5" s="1"/>
  <c r="AX32" i="5" s="1"/>
  <c r="AY32" i="5" s="1"/>
  <c r="AZ32" i="5" s="1"/>
  <c r="BA32" i="5" s="1"/>
  <c r="BD30" i="5"/>
  <c r="BE30" i="5" s="1"/>
  <c r="BF30" i="5" s="1"/>
  <c r="BG30" i="5" s="1"/>
  <c r="BH30" i="5" s="1"/>
  <c r="BB31" i="5"/>
  <c r="BC31" i="5" s="1"/>
  <c r="G47" i="3" s="1"/>
  <c r="AJ33" i="5"/>
  <c r="AK33" i="5" s="1"/>
  <c r="AL33" i="5" s="1"/>
  <c r="AM33" i="5" s="1"/>
  <c r="AN33" i="5" s="1"/>
  <c r="AO33" i="5" s="1"/>
  <c r="AP33" i="5" s="1"/>
  <c r="AQ33" i="5" s="1"/>
  <c r="AR33" i="5" s="1"/>
  <c r="D52" i="3"/>
  <c r="A34" i="5"/>
  <c r="AG34" i="5" s="1"/>
  <c r="AH34" i="5" s="1"/>
  <c r="F50" i="3"/>
  <c r="AG4" i="5"/>
  <c r="AF58" i="5"/>
  <c r="AS33" i="5" l="1"/>
  <c r="AT33" i="5" s="1"/>
  <c r="AU33" i="5" s="1"/>
  <c r="AV33" i="5" s="1"/>
  <c r="AW33" i="5" s="1"/>
  <c r="AX33" i="5" s="1"/>
  <c r="AY33" i="5" s="1"/>
  <c r="AZ33" i="5" s="1"/>
  <c r="BA33" i="5" s="1"/>
  <c r="BD31" i="5"/>
  <c r="BE31" i="5" s="1"/>
  <c r="BF31" i="5" s="1"/>
  <c r="BG31" i="5" s="1"/>
  <c r="BH31" i="5" s="1"/>
  <c r="BB32" i="5"/>
  <c r="BC32" i="5" s="1"/>
  <c r="G48" i="3" s="1"/>
  <c r="AI34" i="5"/>
  <c r="AJ34" i="5" s="1"/>
  <c r="AK34" i="5" s="1"/>
  <c r="AL34" i="5" s="1"/>
  <c r="AM34" i="5" s="1"/>
  <c r="AN34" i="5" s="1"/>
  <c r="AO34" i="5" s="1"/>
  <c r="AP34" i="5" s="1"/>
  <c r="AQ34" i="5" s="1"/>
  <c r="AR34" i="5" s="1"/>
  <c r="A35" i="5"/>
  <c r="AH35" i="5" s="1"/>
  <c r="F51" i="3"/>
  <c r="AH4" i="5"/>
  <c r="AG58" i="5"/>
  <c r="D53" i="3"/>
  <c r="E52" i="3"/>
  <c r="AS34" i="5" l="1"/>
  <c r="AT34" i="5" s="1"/>
  <c r="AU34" i="5" s="1"/>
  <c r="AV34" i="5" s="1"/>
  <c r="AW34" i="5" s="1"/>
  <c r="AX34" i="5" s="1"/>
  <c r="AY34" i="5" s="1"/>
  <c r="AZ34" i="5" s="1"/>
  <c r="BA34" i="5" s="1"/>
  <c r="BD32" i="5"/>
  <c r="BE32" i="5" s="1"/>
  <c r="BF32" i="5" s="1"/>
  <c r="BG32" i="5" s="1"/>
  <c r="BH32" i="5" s="1"/>
  <c r="BB33" i="5"/>
  <c r="BC33" i="5" s="1"/>
  <c r="G49" i="3" s="1"/>
  <c r="AI35" i="5"/>
  <c r="AJ35" i="5" s="1"/>
  <c r="AK35" i="5" s="1"/>
  <c r="AL35" i="5" s="1"/>
  <c r="AM35" i="5" s="1"/>
  <c r="AN35" i="5" s="1"/>
  <c r="AO35" i="5" s="1"/>
  <c r="AP35" i="5" s="1"/>
  <c r="AQ35" i="5" s="1"/>
  <c r="AR35" i="5" s="1"/>
  <c r="A36" i="5"/>
  <c r="AI36" i="5" s="1"/>
  <c r="F52" i="3"/>
  <c r="D54" i="3"/>
  <c r="E53" i="3"/>
  <c r="AI4" i="5"/>
  <c r="AH58" i="5"/>
  <c r="AS35" i="5" l="1"/>
  <c r="AT35" i="5" s="1"/>
  <c r="AU35" i="5" s="1"/>
  <c r="AV35" i="5" s="1"/>
  <c r="AW35" i="5" s="1"/>
  <c r="AX35" i="5" s="1"/>
  <c r="AY35" i="5" s="1"/>
  <c r="AZ35" i="5" s="1"/>
  <c r="BA35" i="5" s="1"/>
  <c r="BD33" i="5"/>
  <c r="BE33" i="5" s="1"/>
  <c r="BF33" i="5" s="1"/>
  <c r="BG33" i="5" s="1"/>
  <c r="BH33" i="5" s="1"/>
  <c r="BB34" i="5"/>
  <c r="BC34" i="5" s="1"/>
  <c r="G50" i="3" s="1"/>
  <c r="AJ36" i="5"/>
  <c r="AK36" i="5" s="1"/>
  <c r="AL36" i="5" s="1"/>
  <c r="AM36" i="5" s="1"/>
  <c r="AN36" i="5" s="1"/>
  <c r="AO36" i="5" s="1"/>
  <c r="AP36" i="5" s="1"/>
  <c r="AQ36" i="5" s="1"/>
  <c r="AR36" i="5" s="1"/>
  <c r="AJ4" i="5"/>
  <c r="AI58" i="5"/>
  <c r="A37" i="5"/>
  <c r="AJ37" i="5" s="1"/>
  <c r="AK37" i="5" s="1"/>
  <c r="AL37" i="5" s="1"/>
  <c r="AM37" i="5" s="1"/>
  <c r="AN37" i="5" s="1"/>
  <c r="AO37" i="5" s="1"/>
  <c r="AP37" i="5" s="1"/>
  <c r="AQ37" i="5" s="1"/>
  <c r="AR37" i="5" s="1"/>
  <c r="F53" i="3"/>
  <c r="E54" i="3"/>
  <c r="D55" i="3"/>
  <c r="AS36" i="5" l="1"/>
  <c r="AT36" i="5" s="1"/>
  <c r="AU36" i="5" s="1"/>
  <c r="AV36" i="5" s="1"/>
  <c r="AW36" i="5" s="1"/>
  <c r="AX36" i="5" s="1"/>
  <c r="AY36" i="5" s="1"/>
  <c r="AZ36" i="5" s="1"/>
  <c r="BA36" i="5" s="1"/>
  <c r="AS37" i="5"/>
  <c r="AT37" i="5" s="1"/>
  <c r="AU37" i="5" s="1"/>
  <c r="AV37" i="5" s="1"/>
  <c r="BD34" i="5"/>
  <c r="BE34" i="5" s="1"/>
  <c r="BF34" i="5" s="1"/>
  <c r="BG34" i="5" s="1"/>
  <c r="BH34" i="5" s="1"/>
  <c r="BB35" i="5"/>
  <c r="BC35" i="5" s="1"/>
  <c r="G51" i="3" s="1"/>
  <c r="A38" i="5"/>
  <c r="AK38" i="5" s="1"/>
  <c r="AL38" i="5" s="1"/>
  <c r="AM38" i="5" s="1"/>
  <c r="AN38" i="5" s="1"/>
  <c r="AO38" i="5" s="1"/>
  <c r="AP38" i="5" s="1"/>
  <c r="AQ38" i="5" s="1"/>
  <c r="AR38" i="5" s="1"/>
  <c r="F54" i="3"/>
  <c r="AK4" i="5"/>
  <c r="AJ58" i="5"/>
  <c r="E55" i="3"/>
  <c r="D56" i="3"/>
  <c r="AS38" i="5" l="1"/>
  <c r="AT38" i="5" s="1"/>
  <c r="AU38" i="5" s="1"/>
  <c r="AV38" i="5" s="1"/>
  <c r="BD35" i="5"/>
  <c r="BE35" i="5" s="1"/>
  <c r="BF35" i="5" s="1"/>
  <c r="BG35" i="5" s="1"/>
  <c r="BH35" i="5" s="1"/>
  <c r="BB36" i="5"/>
  <c r="BC36" i="5" s="1"/>
  <c r="G52" i="3" s="1"/>
  <c r="AW37" i="5"/>
  <c r="AX37" i="5" s="1"/>
  <c r="AY37" i="5" s="1"/>
  <c r="AZ37" i="5" s="1"/>
  <c r="BA37" i="5" s="1"/>
  <c r="A39" i="5"/>
  <c r="AL39" i="5" s="1"/>
  <c r="AM39" i="5" s="1"/>
  <c r="AN39" i="5" s="1"/>
  <c r="AO39" i="5" s="1"/>
  <c r="AP39" i="5" s="1"/>
  <c r="AQ39" i="5" s="1"/>
  <c r="AR39" i="5" s="1"/>
  <c r="F55" i="3"/>
  <c r="AL4" i="5"/>
  <c r="AK58" i="5"/>
  <c r="D57" i="3"/>
  <c r="E56" i="3"/>
  <c r="AS39" i="5" l="1"/>
  <c r="AT39" i="5" s="1"/>
  <c r="AU39" i="5" s="1"/>
  <c r="AV39" i="5" s="1"/>
  <c r="BD36" i="5"/>
  <c r="BE36" i="5" s="1"/>
  <c r="BF36" i="5" s="1"/>
  <c r="BG36" i="5" s="1"/>
  <c r="BH36" i="5" s="1"/>
  <c r="BB37" i="5"/>
  <c r="BC37" i="5" s="1"/>
  <c r="G53" i="3" s="1"/>
  <c r="AW38" i="5"/>
  <c r="AX38" i="5" s="1"/>
  <c r="AY38" i="5" s="1"/>
  <c r="AZ38" i="5" s="1"/>
  <c r="BA38" i="5" s="1"/>
  <c r="F56" i="3"/>
  <c r="A40" i="5"/>
  <c r="AM40" i="5" s="1"/>
  <c r="AN40" i="5" s="1"/>
  <c r="AO40" i="5" s="1"/>
  <c r="AP40" i="5" s="1"/>
  <c r="AQ40" i="5" s="1"/>
  <c r="AR40" i="5" s="1"/>
  <c r="E57" i="3"/>
  <c r="D58" i="3"/>
  <c r="AM4" i="5"/>
  <c r="AL58" i="5"/>
  <c r="AS40" i="5" l="1"/>
  <c r="AT40" i="5" s="1"/>
  <c r="AU40" i="5" s="1"/>
  <c r="AV40" i="5" s="1"/>
  <c r="BD37" i="5"/>
  <c r="BE37" i="5" s="1"/>
  <c r="BF37" i="5" s="1"/>
  <c r="BG37" i="5" s="1"/>
  <c r="BH37" i="5" s="1"/>
  <c r="BB38" i="5"/>
  <c r="BC38" i="5" s="1"/>
  <c r="G54" i="3" s="1"/>
  <c r="AW39" i="5"/>
  <c r="AX39" i="5" s="1"/>
  <c r="AY39" i="5" s="1"/>
  <c r="AZ39" i="5" s="1"/>
  <c r="BA39" i="5" s="1"/>
  <c r="E58" i="3"/>
  <c r="D59" i="3"/>
  <c r="A41" i="5"/>
  <c r="AN41" i="5" s="1"/>
  <c r="AO41" i="5" s="1"/>
  <c r="AP41" i="5" s="1"/>
  <c r="AQ41" i="5" s="1"/>
  <c r="AR41" i="5" s="1"/>
  <c r="F57" i="3"/>
  <c r="AN4" i="5"/>
  <c r="AM58" i="5"/>
  <c r="AS41" i="5" l="1"/>
  <c r="AT41" i="5" s="1"/>
  <c r="AU41" i="5" s="1"/>
  <c r="AV41" i="5" s="1"/>
  <c r="BD38" i="5"/>
  <c r="BE38" i="5" s="1"/>
  <c r="BF38" i="5" s="1"/>
  <c r="BG38" i="5" s="1"/>
  <c r="BH38" i="5" s="1"/>
  <c r="BB39" i="5"/>
  <c r="BC39" i="5" s="1"/>
  <c r="G55" i="3" s="1"/>
  <c r="AW40" i="5"/>
  <c r="AX40" i="5" s="1"/>
  <c r="AY40" i="5" s="1"/>
  <c r="AZ40" i="5" s="1"/>
  <c r="BA40" i="5" s="1"/>
  <c r="A42" i="5"/>
  <c r="AO42" i="5" s="1"/>
  <c r="AP42" i="5" s="1"/>
  <c r="AQ42" i="5" s="1"/>
  <c r="AR42" i="5" s="1"/>
  <c r="F58" i="3"/>
  <c r="AO4" i="5"/>
  <c r="AN58" i="5"/>
  <c r="E59" i="3"/>
  <c r="D60" i="3"/>
  <c r="BD39" i="5" l="1"/>
  <c r="BE39" i="5" s="1"/>
  <c r="BF39" i="5" s="1"/>
  <c r="BG39" i="5" s="1"/>
  <c r="BH39" i="5" s="1"/>
  <c r="BB40" i="5"/>
  <c r="BC40" i="5" s="1"/>
  <c r="G56" i="3" s="1"/>
  <c r="AW41" i="5"/>
  <c r="AX41" i="5" s="1"/>
  <c r="AY41" i="5" s="1"/>
  <c r="AZ41" i="5" s="1"/>
  <c r="BA41" i="5" s="1"/>
  <c r="AS42" i="5"/>
  <c r="AT42" i="5" s="1"/>
  <c r="AU42" i="5" s="1"/>
  <c r="AV42" i="5" s="1"/>
  <c r="D61" i="3"/>
  <c r="E60" i="3"/>
  <c r="AP4" i="5"/>
  <c r="AO58" i="5"/>
  <c r="F59" i="3"/>
  <c r="A43" i="5"/>
  <c r="AP43" i="5" s="1"/>
  <c r="AQ43" i="5" s="1"/>
  <c r="AR43" i="5" s="1"/>
  <c r="BD40" i="5" l="1"/>
  <c r="BE40" i="5" s="1"/>
  <c r="BF40" i="5" s="1"/>
  <c r="BG40" i="5" s="1"/>
  <c r="BH40" i="5" s="1"/>
  <c r="BB41" i="5"/>
  <c r="BC41" i="5" s="1"/>
  <c r="G57" i="3" s="1"/>
  <c r="AW42" i="5"/>
  <c r="AX42" i="5" s="1"/>
  <c r="AY42" i="5" s="1"/>
  <c r="AZ42" i="5" s="1"/>
  <c r="BA42" i="5" s="1"/>
  <c r="AS43" i="5"/>
  <c r="AT43" i="5" s="1"/>
  <c r="AU43" i="5" s="1"/>
  <c r="AV43" i="5" s="1"/>
  <c r="D62" i="3"/>
  <c r="E61" i="3"/>
  <c r="A45" i="5" s="1"/>
  <c r="AQ4" i="5"/>
  <c r="AP58" i="5"/>
  <c r="A44" i="5"/>
  <c r="AQ44" i="5" s="1"/>
  <c r="AR44" i="5" s="1"/>
  <c r="F60" i="3"/>
  <c r="BD41" i="5" l="1"/>
  <c r="BE41" i="5" s="1"/>
  <c r="BF41" i="5" s="1"/>
  <c r="BG41" i="5" s="1"/>
  <c r="BH41" i="5" s="1"/>
  <c r="BB42" i="5"/>
  <c r="BC42" i="5" s="1"/>
  <c r="G58" i="3" s="1"/>
  <c r="AW43" i="5"/>
  <c r="AX43" i="5" s="1"/>
  <c r="AY43" i="5" s="1"/>
  <c r="AZ43" i="5" s="1"/>
  <c r="BA43" i="5" s="1"/>
  <c r="E62" i="3"/>
  <c r="A46" i="5" s="1"/>
  <c r="AS44" i="5"/>
  <c r="AT44" i="5" s="1"/>
  <c r="D63" i="3"/>
  <c r="AR4" i="5"/>
  <c r="AQ58" i="5"/>
  <c r="AR45" i="5"/>
  <c r="F61" i="3"/>
  <c r="BD42" i="5" l="1"/>
  <c r="BE42" i="5" s="1"/>
  <c r="BF42" i="5" s="1"/>
  <c r="BG42" i="5" s="1"/>
  <c r="BH42" i="5" s="1"/>
  <c r="BB43" i="5"/>
  <c r="BC43" i="5" s="1"/>
  <c r="G59" i="3" s="1"/>
  <c r="AU44" i="5"/>
  <c r="AV44" i="5" s="1"/>
  <c r="E63" i="3"/>
  <c r="F62" i="3"/>
  <c r="AS45" i="5"/>
  <c r="AT45" i="5" s="1"/>
  <c r="AU45" i="5" s="1"/>
  <c r="AV45" i="5" s="1"/>
  <c r="D64" i="3"/>
  <c r="AS4" i="5"/>
  <c r="AR58" i="5"/>
  <c r="AS46" i="5"/>
  <c r="BD43" i="5" l="1"/>
  <c r="BE43" i="5" s="1"/>
  <c r="BF43" i="5" s="1"/>
  <c r="BG43" i="5" s="1"/>
  <c r="BH43" i="5" s="1"/>
  <c r="F63" i="3"/>
  <c r="A47" i="5"/>
  <c r="AT47" i="5" s="1"/>
  <c r="AW44" i="5"/>
  <c r="AX44" i="5" s="1"/>
  <c r="AY44" i="5" s="1"/>
  <c r="AZ44" i="5" s="1"/>
  <c r="BA44" i="5" s="1"/>
  <c r="AW45" i="5"/>
  <c r="AX45" i="5" s="1"/>
  <c r="AY45" i="5" s="1"/>
  <c r="E64" i="3"/>
  <c r="A48" i="5" s="1"/>
  <c r="AU48" i="5" s="1"/>
  <c r="D65" i="3"/>
  <c r="AT46" i="5"/>
  <c r="AT4" i="5"/>
  <c r="AS58" i="5"/>
  <c r="BB44" i="5" l="1"/>
  <c r="BC44" i="5" s="1"/>
  <c r="G60" i="3" s="1"/>
  <c r="AZ45" i="5"/>
  <c r="BA45" i="5" s="1"/>
  <c r="F64" i="3"/>
  <c r="E65" i="3"/>
  <c r="A49" i="5" s="1"/>
  <c r="AU47" i="5"/>
  <c r="AV47" i="5" s="1"/>
  <c r="AU46" i="5"/>
  <c r="AV46" i="5" s="1"/>
  <c r="D66" i="3"/>
  <c r="AV48" i="5"/>
  <c r="AW48" i="5" s="1"/>
  <c r="AX48" i="5" s="1"/>
  <c r="AY48" i="5" s="1"/>
  <c r="AZ48" i="5" s="1"/>
  <c r="BA48" i="5" s="1"/>
  <c r="AU4" i="5"/>
  <c r="AV4" i="5" s="1"/>
  <c r="AW4" i="5" s="1"/>
  <c r="AX4" i="5" s="1"/>
  <c r="AY4" i="5" s="1"/>
  <c r="AZ4" i="5" s="1"/>
  <c r="BA4" i="5" s="1"/>
  <c r="AT58" i="5"/>
  <c r="BD44" i="5" l="1"/>
  <c r="BE44" i="5" s="1"/>
  <c r="BF44" i="5" s="1"/>
  <c r="BG44" i="5" s="1"/>
  <c r="BH44" i="5" s="1"/>
  <c r="F65" i="3"/>
  <c r="BB48" i="5"/>
  <c r="BC48" i="5" s="1"/>
  <c r="G64" i="3" s="1"/>
  <c r="AV49" i="5"/>
  <c r="AW49" i="5" s="1"/>
  <c r="AX49" i="5" s="1"/>
  <c r="AY49" i="5" s="1"/>
  <c r="AZ49" i="5" s="1"/>
  <c r="BA49" i="5" s="1"/>
  <c r="BB45" i="5"/>
  <c r="BC45" i="5" s="1"/>
  <c r="G61" i="3" s="1"/>
  <c r="BB4" i="5"/>
  <c r="BC4" i="5" s="1"/>
  <c r="G20" i="3" s="1"/>
  <c r="AW46" i="5"/>
  <c r="AX46" i="5" s="1"/>
  <c r="AY46" i="5" s="1"/>
  <c r="AW47" i="5"/>
  <c r="AX47" i="5" s="1"/>
  <c r="AY47" i="5" s="1"/>
  <c r="E66" i="3"/>
  <c r="A50" i="5" s="1"/>
  <c r="D67" i="3"/>
  <c r="AU58" i="5"/>
  <c r="BD48" i="5" l="1"/>
  <c r="BE48" i="5" s="1"/>
  <c r="BF48" i="5" s="1"/>
  <c r="BG48" i="5" s="1"/>
  <c r="BH48" i="5" s="1"/>
  <c r="BD4" i="5"/>
  <c r="BE4" i="5" s="1"/>
  <c r="BF4" i="5" s="1"/>
  <c r="BG4" i="5" s="1"/>
  <c r="BH4" i="5" s="1"/>
  <c r="H26" i="3"/>
  <c r="BD45" i="5"/>
  <c r="BE45" i="5" s="1"/>
  <c r="BF45" i="5" s="1"/>
  <c r="BG45" i="5" s="1"/>
  <c r="BH45" i="5" s="1"/>
  <c r="BB49" i="5"/>
  <c r="BC49" i="5" s="1"/>
  <c r="G65" i="3" s="1"/>
  <c r="AV50" i="5"/>
  <c r="AW50" i="5"/>
  <c r="AZ47" i="5"/>
  <c r="BA47" i="5" s="1"/>
  <c r="AZ46" i="5"/>
  <c r="BA46" i="5" s="1"/>
  <c r="AV58" i="5"/>
  <c r="AW58" i="5" s="1"/>
  <c r="AX58" i="5" s="1"/>
  <c r="AY58" i="5" s="1"/>
  <c r="AZ58" i="5" s="1"/>
  <c r="E67" i="3"/>
  <c r="A51" i="5" s="1"/>
  <c r="F66" i="3"/>
  <c r="D68" i="3"/>
  <c r="BA58" i="5" l="1"/>
  <c r="BB58" i="5" s="1"/>
  <c r="BC58" i="5" s="1"/>
  <c r="BD55" i="5" s="1"/>
  <c r="BE55" i="5" s="1"/>
  <c r="BF55" i="5" s="1"/>
  <c r="BG55" i="5" s="1"/>
  <c r="BH55" i="5" s="1"/>
  <c r="H61" i="3"/>
  <c r="H37" i="3"/>
  <c r="H59" i="3"/>
  <c r="H35" i="3"/>
  <c r="H40" i="3"/>
  <c r="H24" i="3"/>
  <c r="H23" i="3"/>
  <c r="H29" i="3"/>
  <c r="H38" i="3"/>
  <c r="H22" i="3"/>
  <c r="H53" i="3"/>
  <c r="H45" i="3"/>
  <c r="H31" i="3"/>
  <c r="H55" i="3"/>
  <c r="H52" i="3"/>
  <c r="H36" i="3"/>
  <c r="H60" i="3"/>
  <c r="H57" i="3"/>
  <c r="H50" i="3"/>
  <c r="H34" i="3"/>
  <c r="H58" i="3"/>
  <c r="BD49" i="5"/>
  <c r="BE49" i="5" s="1"/>
  <c r="BF49" i="5" s="1"/>
  <c r="BG49" i="5" s="1"/>
  <c r="BH49" i="5" s="1"/>
  <c r="H43" i="3"/>
  <c r="H20" i="3"/>
  <c r="H25" i="3"/>
  <c r="H49" i="3"/>
  <c r="H48" i="3"/>
  <c r="H32" i="3"/>
  <c r="H56" i="3"/>
  <c r="H51" i="3"/>
  <c r="H46" i="3"/>
  <c r="H30" i="3"/>
  <c r="H54" i="3"/>
  <c r="H27" i="3"/>
  <c r="H47" i="3"/>
  <c r="H21" i="3"/>
  <c r="H41" i="3"/>
  <c r="H44" i="3"/>
  <c r="H28" i="3"/>
  <c r="H33" i="3"/>
  <c r="H39" i="3"/>
  <c r="H42" i="3"/>
  <c r="AV51" i="5"/>
  <c r="AW51" i="5" s="1"/>
  <c r="AX51" i="5"/>
  <c r="BB46" i="5"/>
  <c r="BC46" i="5" s="1"/>
  <c r="G62" i="3" s="1"/>
  <c r="AX50" i="5"/>
  <c r="AY50" i="5" s="1"/>
  <c r="AZ50" i="5" s="1"/>
  <c r="BA50" i="5" s="1"/>
  <c r="BB47" i="5"/>
  <c r="BC47" i="5" s="1"/>
  <c r="G63" i="3" s="1"/>
  <c r="F67" i="3"/>
  <c r="D69" i="3"/>
  <c r="E68" i="3"/>
  <c r="A52" i="5" s="1"/>
  <c r="BD47" i="5" l="1"/>
  <c r="BE47" i="5" s="1"/>
  <c r="BF47" i="5" s="1"/>
  <c r="BG47" i="5" s="1"/>
  <c r="BH47" i="5" s="1"/>
  <c r="BD46" i="5"/>
  <c r="BE46" i="5" s="1"/>
  <c r="BF46" i="5" s="1"/>
  <c r="BG46" i="5" s="1"/>
  <c r="BH46" i="5" s="1"/>
  <c r="H63" i="3"/>
  <c r="AY51" i="5"/>
  <c r="AZ51" i="5" s="1"/>
  <c r="BA51" i="5" s="1"/>
  <c r="BB51" i="5" s="1"/>
  <c r="BC51" i="5" s="1"/>
  <c r="G67" i="3" s="1"/>
  <c r="AV52" i="5"/>
  <c r="AW52" i="5" s="1"/>
  <c r="AX52" i="5" s="1"/>
  <c r="AY52" i="5"/>
  <c r="BB50" i="5"/>
  <c r="BC50" i="5" s="1"/>
  <c r="G66" i="3" s="1"/>
  <c r="F68" i="3"/>
  <c r="D70" i="3"/>
  <c r="E69" i="3"/>
  <c r="H65" i="3" l="1"/>
  <c r="H64" i="3"/>
  <c r="U4" i="7" s="1"/>
  <c r="H62" i="3"/>
  <c r="BD51" i="5"/>
  <c r="BE51" i="5" s="1"/>
  <c r="BF51" i="5" s="1"/>
  <c r="BG51" i="5" s="1"/>
  <c r="BH51" i="5" s="1"/>
  <c r="BD50" i="5"/>
  <c r="BE50" i="5" s="1"/>
  <c r="BF50" i="5" s="1"/>
  <c r="BG50" i="5" s="1"/>
  <c r="BH50" i="5" s="1"/>
  <c r="H67" i="3"/>
  <c r="A53" i="5"/>
  <c r="AZ53" i="5" s="1"/>
  <c r="BA53" i="5" s="1"/>
  <c r="AZ52" i="5"/>
  <c r="BA52" i="5" s="1"/>
  <c r="BB52" i="5" s="1"/>
  <c r="BC52" i="5" s="1"/>
  <c r="G68" i="3" s="1"/>
  <c r="F69" i="3"/>
  <c r="D71" i="3"/>
  <c r="E70" i="3"/>
  <c r="A54" i="5" s="1"/>
  <c r="BA54" i="5" s="1"/>
  <c r="BB54" i="5" s="1"/>
  <c r="BC54" i="5" s="1"/>
  <c r="G70" i="3" s="1"/>
  <c r="J14" i="7" l="1"/>
  <c r="H66" i="3"/>
  <c r="U5" i="7" s="1"/>
  <c r="BD52" i="5"/>
  <c r="BE52" i="5" s="1"/>
  <c r="BF52" i="5" s="1"/>
  <c r="BG52" i="5" s="1"/>
  <c r="BH52" i="5" s="1"/>
  <c r="BB53" i="5"/>
  <c r="BC53" i="5" s="1"/>
  <c r="H68" i="3"/>
  <c r="F70" i="3"/>
  <c r="D72" i="3"/>
  <c r="E71" i="3"/>
  <c r="A55" i="5" s="1"/>
  <c r="BB55" i="5" s="1"/>
  <c r="BC55" i="5" s="1"/>
  <c r="G71" i="3" s="1"/>
  <c r="U6" i="7" l="1"/>
  <c r="G69" i="3"/>
  <c r="H70" i="3" s="1"/>
  <c r="F71" i="3"/>
  <c r="D73" i="3"/>
  <c r="E72" i="3"/>
  <c r="A56" i="5" s="1"/>
  <c r="BC56" i="5" s="1"/>
  <c r="H71" i="3" l="1"/>
  <c r="U9" i="7" s="1"/>
  <c r="H69" i="3"/>
  <c r="G72" i="3"/>
  <c r="K23" i="9" s="1"/>
  <c r="R23" i="9" s="1"/>
  <c r="F72" i="3"/>
  <c r="D74" i="3"/>
  <c r="H73" i="3"/>
  <c r="U11" i="7" s="1"/>
  <c r="E73" i="3"/>
  <c r="U8" i="7" l="1"/>
  <c r="U7" i="7"/>
  <c r="H72" i="3"/>
  <c r="U10" i="7" s="1"/>
  <c r="F73" i="3"/>
  <c r="A57" i="5"/>
  <c r="D75" i="3"/>
  <c r="H74" i="3"/>
  <c r="U12" i="7" s="1"/>
  <c r="E74" i="3"/>
  <c r="F74" i="3" s="1"/>
  <c r="D76" i="3" l="1"/>
  <c r="H75" i="3"/>
  <c r="U13" i="7" s="1"/>
  <c r="E75" i="3"/>
  <c r="F75" i="3" s="1"/>
  <c r="D77" i="3" l="1"/>
  <c r="H76" i="3"/>
  <c r="U14" i="7" s="1"/>
  <c r="E76" i="3"/>
  <c r="F76" i="3" s="1"/>
  <c r="D78" i="3" l="1"/>
  <c r="H77" i="3"/>
  <c r="U15" i="7" s="1"/>
  <c r="E77" i="3"/>
  <c r="F77" i="3" s="1"/>
  <c r="D79" i="3" l="1"/>
  <c r="W17" i="7" s="1"/>
  <c r="J19" i="7" s="1"/>
  <c r="H78" i="3"/>
  <c r="E78" i="3"/>
  <c r="F78" i="3" s="1"/>
  <c r="K32" i="9" l="1"/>
  <c r="J24" i="7"/>
  <c r="H79" i="3"/>
  <c r="E79" i="3"/>
  <c r="F79" i="3" s="1"/>
  <c r="K36" i="9" l="1"/>
  <c r="J26" i="7"/>
  <c r="R36" i="9" l="1"/>
  <c r="I41" i="11"/>
  <c r="Q60" i="11" l="1"/>
  <c r="Q61" i="11" s="1"/>
  <c r="I55" i="11" s="1"/>
  <c r="I73" i="11"/>
  <c r="N73" i="11" s="1"/>
  <c r="N41" i="11"/>
  <c r="E46" i="11" s="1"/>
  <c r="I69" i="11" l="1"/>
  <c r="I75" i="11" s="1"/>
  <c r="N75" i="11" s="1"/>
  <c r="E79" i="11" s="1"/>
  <c r="Q62" i="11"/>
  <c r="I53" i="11" s="1"/>
  <c r="N55" i="11"/>
  <c r="N53" i="11" l="1"/>
  <c r="E58" i="11" s="1"/>
</calcChain>
</file>

<file path=xl/sharedStrings.xml><?xml version="1.0" encoding="utf-8"?>
<sst xmlns="http://schemas.openxmlformats.org/spreadsheetml/2006/main" count="474" uniqueCount="277">
  <si>
    <t>Year</t>
  </si>
  <si>
    <t>Rate</t>
  </si>
  <si>
    <t>Starting Salary as of 2016</t>
  </si>
  <si>
    <t>Annual Salary increase</t>
  </si>
  <si>
    <t>Build Up Rate (1/54th)</t>
  </si>
  <si>
    <t>Age</t>
  </si>
  <si>
    <t>CPI + 1.5%</t>
  </si>
  <si>
    <t>Years' of Service</t>
  </si>
  <si>
    <t>Assumptions:</t>
  </si>
  <si>
    <t xml:space="preserve">Average </t>
  </si>
  <si>
    <t xml:space="preserve">Historical UK CPI </t>
  </si>
  <si>
    <t>Yearly Pension Earnings
(1/54th of Pensionable Pay)</t>
  </si>
  <si>
    <t>Salary 
(annual salary rise as above)</t>
  </si>
  <si>
    <t>Revaluation at Retirement Age</t>
  </si>
  <si>
    <t>Start date of 2015 scheme</t>
  </si>
  <si>
    <t>Retirement Age</t>
  </si>
  <si>
    <t>Estimated Pension Forecast at Retirement</t>
  </si>
  <si>
    <t>Name</t>
  </si>
  <si>
    <t>Value</t>
  </si>
  <si>
    <t>Please note HSC Pensions are unable to forecast the value of any future accrued benefits for members in the HSC Pension Scheme 2015 as these are influenced by factors supplied by the HM Treasury on a yearly basis. However, the calculation forecast below illustrates an estimated pension forecast based on the following assumptions:</t>
  </si>
  <si>
    <t>Enter your starting salary and date of birth in the cells highlighted yellow to calculate potential benefits.</t>
  </si>
  <si>
    <t>2. Annual salary increase of 0.5%</t>
  </si>
  <si>
    <t>Please Note these figures are for Illustrative purposes and should not be used as a guarantee to what your actual pension benefits will be on retirement</t>
  </si>
  <si>
    <t>Reduction Factor Used</t>
  </si>
  <si>
    <t>2015 Pension Scheme Voluntary Early Retirement (VER) Pension Calculator</t>
  </si>
  <si>
    <t>You can use this calculator to forecast the value of your 2015 Scheme Pension  should you intend to retire before</t>
  </si>
  <si>
    <t>Before using this calculator you will need to establish the value of your pension by using the 2015 Pension Scheme Calculator</t>
  </si>
  <si>
    <t xml:space="preserve">     Step 1. Use the 2015 Pension Scheme Calculator to establish the value of your estimated pension at the age you intend to retire</t>
  </si>
  <si>
    <t>Annual Estimated Gross VER Pension Payable</t>
  </si>
  <si>
    <t>Monthly Estimated Gross VER Pension Payable</t>
  </si>
  <si>
    <t xml:space="preserve">The calculator will then revalue your benefits and apply the relevant reduction factor and display the percentage reduction rate </t>
  </si>
  <si>
    <t>used to calculate your VER Pension</t>
  </si>
  <si>
    <t>Years</t>
  </si>
  <si>
    <t>Months</t>
  </si>
  <si>
    <t>Months Decimal</t>
  </si>
  <si>
    <t>Age Decimal</t>
  </si>
  <si>
    <t>Percentage Reduction to 2015 Pension</t>
  </si>
  <si>
    <t>Your Estimated 2015 Scheme Pension Amount at SPA</t>
  </si>
  <si>
    <t xml:space="preserve">Your Estimated 2015 SchemePension (less Revaluation to SPA) at VER Date </t>
  </si>
  <si>
    <t>Enter the age in years and months you intend to retire</t>
  </si>
  <si>
    <t xml:space="preserve">1. Consumer Price Index (CPI) has been taken as 0.5% so as not to over inflate the estimated pension. </t>
  </si>
  <si>
    <r>
      <t xml:space="preserve">This Calculator should only be used by 2015 scheme members </t>
    </r>
    <r>
      <rPr>
        <b/>
        <sz val="14"/>
        <color rgb="FFFF0000"/>
        <rFont val="Calibri"/>
        <family val="2"/>
        <scheme val="minor"/>
      </rPr>
      <t>born on or after 06/04/1978</t>
    </r>
  </si>
  <si>
    <t>Please note the following calculation is for illustration purposes only and under no circumstances should be taken as a guarantee of the benefits you may receive on retirement.</t>
  </si>
  <si>
    <t>your normal retirement age which is linked to your State Pension Age (SPA). The earliest you can claim a VER Pension is age 55</t>
  </si>
  <si>
    <t xml:space="preserve">     Step 2. Enter the age in  years  &amp; months you intend to retire in the  yellow boxes</t>
  </si>
  <si>
    <t>Revaluation Rate</t>
  </si>
  <si>
    <t xml:space="preserve">Date Joined Scheme </t>
  </si>
  <si>
    <t>Enter Date of Birth</t>
  </si>
  <si>
    <t>Enter Date Joined Scheme</t>
  </si>
  <si>
    <t>2015 Scheme Calculator for Member's with a Normal Retirement Age of 68</t>
  </si>
  <si>
    <t>Annual Pensionable Salary at Joined scheme</t>
  </si>
  <si>
    <t>If you intend to retire before age 68 fill in the age you intend to retire in the yellow boxes</t>
  </si>
  <si>
    <t>Value of Pension Built to Intended Retirement Age</t>
  </si>
  <si>
    <t>VER Pension at Intended Retirement Age</t>
  </si>
  <si>
    <t>Reduction Factor Applied if Claimed at Intended Retirement Age</t>
  </si>
  <si>
    <t>Enter Age you Intend to Retire - Voluntary Early Retirement (VER)</t>
  </si>
  <si>
    <t>Enter Pensionable Pay on Joining the 2015 Scheme</t>
  </si>
  <si>
    <t>Per Annum</t>
  </si>
  <si>
    <t xml:space="preserve">Enter Age in Years When Joining the 2015 Scheme </t>
  </si>
  <si>
    <t>Pension At Age 67 =</t>
  </si>
  <si>
    <t>3. Retirement age of 67</t>
  </si>
  <si>
    <r>
      <t xml:space="preserve">This Calculator should only be used by 2015 scheme members </t>
    </r>
    <r>
      <rPr>
        <b/>
        <sz val="14"/>
        <color rgb="FFFF0000"/>
        <rFont val="Calibri"/>
        <family val="2"/>
        <scheme val="minor"/>
      </rPr>
      <t>born between 06/04/1960 &amp; 05/04/1970</t>
    </r>
  </si>
  <si>
    <t>ILLUSTRATION OF 2015 PENSION SCHEME BENEFITS FOR NORMAL RETIREMENT AGE OF 67 YEARS</t>
  </si>
  <si>
    <r>
      <rPr>
        <b/>
        <sz val="14"/>
        <color theme="1"/>
        <rFont val="Calibri"/>
        <family val="2"/>
        <scheme val="minor"/>
      </rPr>
      <t xml:space="preserve">               </t>
    </r>
    <r>
      <rPr>
        <b/>
        <u/>
        <sz val="14"/>
        <color theme="1"/>
        <rFont val="Calibri"/>
        <family val="2"/>
        <scheme val="minor"/>
      </rPr>
      <t>Assumptions:</t>
    </r>
  </si>
  <si>
    <t xml:space="preserve">           3. Retirement age of 67</t>
  </si>
  <si>
    <t xml:space="preserve">           1. Consumer Price Index (CPI) has been taken as 0.5%. </t>
  </si>
  <si>
    <t xml:space="preserve">               Please note HSC Pensions are unable to forecast the value of any future accrued benefits for members in the 2015 HSC Pension Scheme as these are  </t>
  </si>
  <si>
    <t xml:space="preserve">               influenced by elements, including, fluctuations in a member's salary and factors supplied by the HM Treasury on annual basis, e.g. Consumer Price Index. </t>
  </si>
  <si>
    <t xml:space="preserve">           2. Member's Annual salary increases by 0.5%</t>
  </si>
  <si>
    <t xml:space="preserve">LTA Used </t>
  </si>
  <si>
    <t xml:space="preserve">           4. LTA is based on 2018/19 Value</t>
  </si>
  <si>
    <t>Normal Age Retirement</t>
  </si>
  <si>
    <t>Voluntary Early Retirement (VER)</t>
  </si>
  <si>
    <t xml:space="preserve">               If you intend to Retire before your NRA, enter the age in years and months in the yellow boxes in the VER section you intend to retire. Your reduced pension benefits will be displayed </t>
  </si>
  <si>
    <r>
      <t xml:space="preserve">               This Calculator should only be used by 2015 scheme members born between</t>
    </r>
    <r>
      <rPr>
        <b/>
        <u/>
        <sz val="14"/>
        <color rgb="FFFF0000"/>
        <rFont val="Calibri"/>
        <family val="2"/>
        <scheme val="minor"/>
      </rPr>
      <t xml:space="preserve"> 06/04/1960 &amp; 05/04/1970</t>
    </r>
  </si>
  <si>
    <t xml:space="preserve">          2015 Scheme Calculator - Members with Normal Retirement Age of 67</t>
  </si>
  <si>
    <t xml:space="preserve">               However, the calculation forecast below illustrates an estimated pension based on the following assumptions:</t>
  </si>
  <si>
    <t xml:space="preserve">               In the Normal Age Retirement section enter your age and pensionable pay when joining the scheme in the cells highlighted in yellow to calculate potential benefits at Normal Retirement Age (NRA)</t>
  </si>
  <si>
    <t xml:space="preserve">               Please note the following calculation is for illustration purposes only and under no circumstances should be taken as a guarantee of the benefits you may receive on retirement.</t>
  </si>
  <si>
    <t xml:space="preserve">               5. VER Factors applicable from 01/04/2019</t>
  </si>
  <si>
    <t>Reduction Factor Pension</t>
  </si>
  <si>
    <t>Reduction Factor Lump Sum</t>
  </si>
  <si>
    <t>Please read these notes before using this calculator.</t>
  </si>
  <si>
    <t>To use this calculator you must know your 1995 Scheme pensionable service at your transition date.</t>
  </si>
  <si>
    <t xml:space="preserve">total </t>
  </si>
  <si>
    <t>years</t>
  </si>
  <si>
    <t>days</t>
  </si>
  <si>
    <t>days converted</t>
  </si>
  <si>
    <t>1995 Section Benefits</t>
  </si>
  <si>
    <t>Days</t>
  </si>
  <si>
    <t>total</t>
  </si>
  <si>
    <t>Enter Your  Pensionable Service at your Transition Date</t>
  </si>
  <si>
    <t>Month Decimal</t>
  </si>
  <si>
    <t>For example 19/300 displayed on your ABS = 19 years 300 days</t>
  </si>
  <si>
    <t>Yes</t>
  </si>
  <si>
    <t>Are you a special class nurse or Mental Health Officer with a retirement age of 55</t>
  </si>
  <si>
    <t>No</t>
  </si>
  <si>
    <t>Enter your age in years and months at your proposed retirement date</t>
  </si>
  <si>
    <t>Scroll down to see the  estimated values of benefits based on 3 different options</t>
  </si>
  <si>
    <t>Your Projected Benefits</t>
  </si>
  <si>
    <t>Option 1. Assuming Standard Pension and Lump Sum</t>
  </si>
  <si>
    <t>1995 Scheme</t>
  </si>
  <si>
    <t>2015 Scheme</t>
  </si>
  <si>
    <t>Combined Benefits</t>
  </si>
  <si>
    <t xml:space="preserve">Projected Pension = </t>
  </si>
  <si>
    <t>Projected Lump Sum =</t>
  </si>
  <si>
    <t>LTA Used</t>
  </si>
  <si>
    <t>Option 2. Assuming Maximum Lump Sum and Reduced Pension</t>
  </si>
  <si>
    <t>Option 3. Personal Choice of additional Lump Sum and Reduced Pension</t>
  </si>
  <si>
    <t>The additional lump sum for 1995 Scheme  plus standard lump sum displayed in Option 1 cannot exceed the maximum 1995 Scheme Lump Sum displayed in Option 2</t>
  </si>
  <si>
    <t>The additional lump sum for 2015 Scheme cannot exceed the maximum 2015 Scheme Lump Sum displayed in Option 2</t>
  </si>
  <si>
    <t xml:space="preserve">How much additional Lump Sum do you want </t>
  </si>
  <si>
    <t xml:space="preserve">HSC Pension Scheme Calculator for 1995 - 2015 Transitional Members -Normal Retirement Age 67 </t>
  </si>
  <si>
    <t>The 2015 scheme active member  in-service revaluation has been set at 2% in all cases.</t>
  </si>
  <si>
    <t xml:space="preserve">Long-term CPI has been assumed to be 0.5% per year. The calculator presents sets of results, by using long-term pay increases of 0.5% each year. </t>
  </si>
  <si>
    <t>Transitional and tapered protection have been allowed for in the results.</t>
  </si>
  <si>
    <t>The 2015 scheme is a Career Average Revalued Earnings (CARE) scheme with an accrual rate of 1/54 and revaluation for active members before retirement in line with the change in CPI plus 1.5%</t>
  </si>
  <si>
    <t>Detailed notes (which explain some of the details of the calculations)</t>
  </si>
  <si>
    <t>If you wish to seek financial advice, please contact an authorised independent financial adviser. The results above are not to be considered as financial advice.  HSC Pension Service  does not accept responsibility for the accuracy of results produced.</t>
  </si>
  <si>
    <t>If future experience differs from the assumptions used, the pension you will receive at retirement will be different from those shown.</t>
  </si>
  <si>
    <t>Allowing for promotional salary increases would increase the projected benefits.</t>
  </si>
  <si>
    <t>The calculator uses factors currently in effect. These factors are reviewed periodically. When you actually retire, the scheme factors in force at the time will be used, if appropriate. This may produce different results, other things being equal, to those illustrated here.</t>
  </si>
  <si>
    <t>The results shown are estimated, using a given set of assumptions.  Using different assumptions in the calculations could produce different results.</t>
  </si>
  <si>
    <t>The results produced are not a formal statement of your entitlements.</t>
  </si>
  <si>
    <t>Warnings</t>
  </si>
  <si>
    <t>Your scheme provides survivor benefits payable in the event of your death. These are not shown here. See your Scheme/Survivors guide or Annual Benefit Statement for details.</t>
  </si>
  <si>
    <t>The illustrations do not allow for taxation. Your benefits will be subject to the various tax rates and limits in force when you retire. Further information on taxation is available on the HMRC website. You may wish to seek specialist advice if you think you could be affected.</t>
  </si>
  <si>
    <t>The calculator does not show pension from other sources, for example the state pension or other private arrangements you may have.</t>
  </si>
  <si>
    <t>The results do not include any money purchase Additional Voluntary Contributions (AVCs) benefits, added pension that you may have purchased, pension debits or other special arrangements within the schemes. If your 2015 pension includes transferred-in benefits, these are not included in this projection</t>
  </si>
  <si>
    <t xml:space="preserve">If you are a special class officer in the 1995 section,  you may be entitled to retire at age 55. </t>
  </si>
  <si>
    <t xml:space="preserve">Normal Pension Age in the 2015 Scheme is State Pension Age (SPA). Where your selected retirement age is not SPA, the amount of 2015 Scheme pension shown includes actuarial adjustments for the earlier or later start of payments. These actuarial adjustments are those currently in effect. However, they will be reviewed periodically, and may increase or decrease. Your benefits at retirement will depend on the actuarial adjustment factors in effect at that time. If you have chosen to buy-out the reduction, that will not be shown here.  </t>
  </si>
  <si>
    <t>It is assumed that you will remain in active service until your selected retirement date, and that you will retire on normal terms (i.e. you are not retiring on the grounds of ill-health).</t>
  </si>
  <si>
    <t>The amount of pension you may receive depends on when you retire.</t>
  </si>
  <si>
    <t>When you retire you may be able to choose to convert some of your pension to receive a lump sum (or additional lump sum for 1995 Section members). This is known as Commutation. The Results Sections (1) show  the standard value of benefits without commutation, (2) commuting your pension to maximise the lump sum, and (3) your personal choice of how much additional lump sum you wish to receive.</t>
  </si>
  <si>
    <t>The results for 2015 section benefits allow for basic salary increases of 0.5%, inflation and revaluation of CARE benefits on three different sets of assumptions. The assumed salary increases do not allow for any future promotional salary increases you may receive.</t>
  </si>
  <si>
    <t>The results for 1995 section benefits shows the amount of your projected pension at retirement based on your projected pensionable pay at that date.</t>
  </si>
  <si>
    <t xml:space="preserve">This calculator is solely for guidance purposes and is an estimate only. It is not intended to provide you with financial advice. If you require financial advice, you should contact an independent financial adviser. </t>
  </si>
  <si>
    <t>Understanding the Results (Notes and Assumptions)</t>
  </si>
  <si>
    <t>1995/2015 Transitional Member Calculator Notes</t>
  </si>
  <si>
    <t>Enter your Estimated Pensionable Earnings at Retirement (Whole Time Equivalent (WTE) if you work Part Time)</t>
  </si>
  <si>
    <t>This calculator only applies to the HSC Pension Scheme in Northern Ireland</t>
  </si>
  <si>
    <t>The benefits displayed for 2015 Scheme membership are based on full years from the age you joined to your retirement age. If you have part years’ service actual benefits may be lower</t>
  </si>
  <si>
    <t>If your transition date is after your last annual benefit statement date add on the additional service you will accrue up to the transition date</t>
  </si>
  <si>
    <t>The calculator cannot take account of different working patterns, i.e. increasing or decreasing hours worked.</t>
  </si>
  <si>
    <t>This calculator will provide an illustration of your pension at a chosen retirement age.</t>
  </si>
  <si>
    <t>Please read the Notes section found on the next tab for further details on assumptions used and limitations on the results produced</t>
  </si>
  <si>
    <t xml:space="preserve">This calculator is for guidance purposes only and is an estimate only. It is not intended to provide you with financial advice. </t>
  </si>
  <si>
    <t>If you require financial advice, you should contact an independent financial adviser.</t>
  </si>
  <si>
    <t>The results shown are only estimates, based on the information you input and other assumptions.</t>
  </si>
  <si>
    <t>Your service and transition date can be found on your Annual Benefit Statement. You can access your Annual Benefit Statement at https://mypension.hscni.net/</t>
  </si>
  <si>
    <t>2015 CARE Scheme Pension Benefits</t>
  </si>
  <si>
    <t>For 2015 Scheme Benefits you must know your approximate annual pensionable pay (not WTE) at your CARE start date</t>
  </si>
  <si>
    <t>Enter Age in Years at your CARE start date</t>
  </si>
  <si>
    <t>Enter Approximate Annual Pensionable Pay at your CARE start date</t>
  </si>
  <si>
    <t>Enter Your  Pensionable Service as displayed on your Annual Benefit Statement</t>
  </si>
  <si>
    <t>If you plan to retire in the next 5 years you can use this calculator to forecast your potential pension benefits</t>
  </si>
  <si>
    <t xml:space="preserve">Year 1 </t>
  </si>
  <si>
    <t>Enter the amount of pensionable pay you expect to earn in the years up to retirment starting with the first</t>
  </si>
  <si>
    <t>Amount</t>
  </si>
  <si>
    <t>Year 2</t>
  </si>
  <si>
    <t>Year 3</t>
  </si>
  <si>
    <t>Year 4</t>
  </si>
  <si>
    <t>Year 5</t>
  </si>
  <si>
    <t>Reduction Factor</t>
  </si>
  <si>
    <t>Max Amount</t>
  </si>
  <si>
    <t>Reduced Pension</t>
  </si>
  <si>
    <t>Max to give up</t>
  </si>
  <si>
    <t>Pension given up 1995</t>
  </si>
  <si>
    <t>Pension given up 2015</t>
  </si>
  <si>
    <t>HSC Pension Scheme Calculator for 1995 - 2015 Transitional Members -Normal Retirement Age 67 Retiring in the next 5 years</t>
  </si>
  <si>
    <t>To use this calculator you must know your 1995 Scheme pensionable service.</t>
  </si>
  <si>
    <t>How much additional Lump Sum would you like</t>
  </si>
  <si>
    <t>Enter the amount of 2015 scheme pension as displayed on your latest Annual Benefit Statement</t>
  </si>
  <si>
    <t xml:space="preserve">year after your latest Annual Benefit Statement </t>
  </si>
  <si>
    <t>How to use this calculator</t>
  </si>
  <si>
    <t>By using the calculator, you agree you have read and understood the following Terms and Conditions.</t>
  </si>
  <si>
    <t>1. Use of this calculator</t>
  </si>
  <si>
    <t>The figures you get are an indication of the benefits you may receive. They are not guaranteed, and you should not enter into financial commitments based on them.</t>
  </si>
  <si>
    <t>The calculator does not override the scheme rules or pension legislation.</t>
  </si>
  <si>
    <t>Consumer Price Index (CPI) is assumed to be 2% a year</t>
  </si>
  <si>
    <t>Enter your Estimated Pensionable Earnings at Retirement (Whole Time Equivalent if you work Part Time)</t>
  </si>
  <si>
    <t>Proceed to 2015 Scheme Information</t>
  </si>
  <si>
    <t xml:space="preserve">In this section of the calculator you will be asked to enter your service and pensionable pay details required </t>
  </si>
  <si>
    <t>Finally you will be asked if you hold Special Class Nursing or Mental Health Officer status which means you have a protected normal retirement age of 55</t>
  </si>
  <si>
    <t>Are you a Special Class Nurse or Mental Health Officer with a retirement age of 55</t>
  </si>
  <si>
    <t>In this section of the calculator you will be asked to enter details relating to your 2015 Scheme Pension Benefits</t>
  </si>
  <si>
    <t xml:space="preserve">The information required to complete this section is available on your Annual Benefit Statement </t>
  </si>
  <si>
    <t>as you would have done for the 1995 Section.</t>
  </si>
  <si>
    <t xml:space="preserve">Proceed to Results </t>
  </si>
  <si>
    <t xml:space="preserve">The information displayed and calculations used are based on assumptions shown on the Instructions Page </t>
  </si>
  <si>
    <t>of this calculator plus the information you have input</t>
  </si>
  <si>
    <t>The results are not a guarantee of what benefits you may receive on Retirement</t>
  </si>
  <si>
    <t>Projected Benefits</t>
  </si>
  <si>
    <t>Gross Monthly Pension</t>
  </si>
  <si>
    <t>One off Lump Sum</t>
  </si>
  <si>
    <t>1. Standard Pension and Lump Sum Option</t>
  </si>
  <si>
    <t>2. Maximum Lump Sum and Reduced Pension Option</t>
  </si>
  <si>
    <t>The age that you retire can impact the value of your HSC Pension and Lump Sum</t>
  </si>
  <si>
    <t xml:space="preserve">In the 2015 Scheme the NRA for all members is your State Pension Age </t>
  </si>
  <si>
    <t>Age at Retirement</t>
  </si>
  <si>
    <t xml:space="preserve">Below you will be asked to enter your age in Years and Months at your proposed Retirement Date. </t>
  </si>
  <si>
    <t>Printable Version</t>
  </si>
  <si>
    <t>Your Projected Benefits will be displayed below.</t>
  </si>
  <si>
    <t xml:space="preserve">Illustration of Benefits Payable at Age </t>
  </si>
  <si>
    <t>Yrs/Months</t>
  </si>
  <si>
    <t xml:space="preserve">If you need financial advice, speak to an independent financial adviser – you can find one at unbiased.co.uk. </t>
  </si>
  <si>
    <t>2.1. Assumptions</t>
  </si>
  <si>
    <t>2.2. Manual Input</t>
  </si>
  <si>
    <t>There is manual input  required from you in order to populate the calculator and to achieve benefit accrual results</t>
  </si>
  <si>
    <t>Most information required for manual input entries can be found on your Annual Benefit Statement which is available via the HSC Pension Scheme Website</t>
  </si>
  <si>
    <t>2.3. Adjustments for early or late payment of pension are calculated in accordance with factors in place at 01/03/2026</t>
  </si>
  <si>
    <t>HSC Pension Service cannot be held liable for errors you may make on manually inputting data to the calculator</t>
  </si>
  <si>
    <t>the figures you get will be of limited value. No data you enter into this calculator is stored or processed.</t>
  </si>
  <si>
    <t xml:space="preserve">Go to Instructions </t>
  </si>
  <si>
    <t xml:space="preserve">This calculator will enable you to produce  a basic illustration of your projected benefits at  your retirement age. </t>
  </si>
  <si>
    <t>1. You will be asked to enter your age in years and months at your chosen retirement date. This is important because it will take into account</t>
  </si>
  <si>
    <t>any actuarial reduction factors which may be applied to your benefits if claimed before your Normal Retirement Age (NRA)</t>
  </si>
  <si>
    <t xml:space="preserve">The projected benefits in this calculator are in “today's money” – this means the values are adjusted for inflation and represent what the pension would be worth today, </t>
  </si>
  <si>
    <t>so you can compare it with your current earnings and the amount you think you’ll need in retirement.</t>
  </si>
  <si>
    <t>You can use the pay figure quoted on your Annual Benefit Statement or if you know your pay will be higher when you retire enter that amount</t>
  </si>
  <si>
    <t>in the 1995 section of the scheme</t>
  </si>
  <si>
    <t>Gross Annual Pension</t>
  </si>
  <si>
    <t xml:space="preserve">Gross Monthly Pension </t>
  </si>
  <si>
    <t xml:space="preserve">HSC 1995/2015 Calculator for Members within 5 Years of Retirement Age </t>
  </si>
  <si>
    <t>I confirm I have read the T&amp;C's and Instructions for using this calculator and wish to proceed</t>
  </si>
  <si>
    <t>Please make your self aware of the Terms and Conditions before proceeding to the instructions of use</t>
  </si>
  <si>
    <t>Pension Benefits Illustration</t>
  </si>
  <si>
    <t>Important: The Gross Annual/Monthly Pension Amount may be subject to Income Tax and you may wish to check</t>
  </si>
  <si>
    <t>your own personal taxation allowance/position</t>
  </si>
  <si>
    <t>Please read the instructions below before proceeding to the first stage of using the calculator</t>
  </si>
  <si>
    <t>Step 1 Select  Your Retirement Age</t>
  </si>
  <si>
    <t>Proceed to Calculator</t>
  </si>
  <si>
    <t>Step 2 Enter details relating to your legacy 1995 Scheme Benefits</t>
  </si>
  <si>
    <t>Step 3 Enter details relating to your 2015 CARE Scheme Pension Benefits</t>
  </si>
  <si>
    <t>Please continue to the the instructions on how to use the calculator</t>
  </si>
  <si>
    <t xml:space="preserve">to calculate the 1995 section of the pension scheme benefits which you have accrued </t>
  </si>
  <si>
    <t xml:space="preserve">Here you will see in the first row your Reckonable Service displayed in Years/Days </t>
  </si>
  <si>
    <t>Enter Your  Reckonable Service as displayed on your Annual Benefit Statement</t>
  </si>
  <si>
    <t>For example your pay at retirement may be higher as a result of a pay award, promotion or incremental increase, i.e. moving up the pay scale</t>
  </si>
  <si>
    <t>When you have completed this section press "Proceed to Results" at the bottom of the screen and you will be taken to your illustration of estimated benefits</t>
  </si>
  <si>
    <t xml:space="preserve">The calculator is for guidance and it only provides estimates of benefits based on information you enter. It is not intended to provide financial advice. </t>
  </si>
  <si>
    <t>HSC Pension Service does not accept any liability for financial decisions taken based on the information provided by this calculator.</t>
  </si>
  <si>
    <t xml:space="preserve">The calculator will not check your information against pension information held on other systems, so if you enter inaccurate information, </t>
  </si>
  <si>
    <t>It allows you to see an estimation of benefits based on the information you input and uses certain assumptions about what will happen in future.</t>
  </si>
  <si>
    <t>To use the calculator you should have your latest Annual Benefit Statement (ABS) at hand. This can be found on the HSC PS website and will help you complete some of the questions asked</t>
  </si>
  <si>
    <t>you will earn for that part year. Scheme years run from 01st April to 31st March</t>
  </si>
  <si>
    <t xml:space="preserve">Once you have completed these questions press Proceed to 2015 Scheme Information </t>
  </si>
  <si>
    <t>You will also need to refer to your Annual Benefit Statement for information for this element of the calculation</t>
  </si>
  <si>
    <t>On using the calculator you will be asked a series of questions which you must answer before proceeding to the next step</t>
  </si>
  <si>
    <t>If you retire before your NRA your benefits will be reduced to take account of them being paid longer</t>
  </si>
  <si>
    <t>Enter the amount of pensionable pay you expect to earn in the years up to retirement starting with the first</t>
  </si>
  <si>
    <t>To find this on your statement go to your Benefit Summary Page and then look under Current Legacy Benefits</t>
  </si>
  <si>
    <t>If you work Part Time this should be the amount of pensionable pay you would get if you worked full time.</t>
  </si>
  <si>
    <t>You should only answer yes if you have a protected normal retirement age of age 55</t>
  </si>
  <si>
    <t xml:space="preserve">This rules applies only to members who hold special class or mental health officer status which was awarded </t>
  </si>
  <si>
    <t>for scheme mebership in this field which began before 01st April 1995 and has had no breaks of 5 years or more</t>
  </si>
  <si>
    <t xml:space="preserve">You will now be asked to enter your Estimated Pensionable Pay for the next number of years up to your date of retirement </t>
  </si>
  <si>
    <t xml:space="preserve">For example: If you intend to retire in 3 years you will only need </t>
  </si>
  <si>
    <t>If you intend to retire part way through a year you should only enter</t>
  </si>
  <si>
    <t>to enter pay figures up to year 3.</t>
  </si>
  <si>
    <t xml:space="preserve">Important,  if you work part time you enter the actual pensionable pay </t>
  </si>
  <si>
    <t>you expect to receive</t>
  </si>
  <si>
    <t>the pensionable pay you expect to receive for the part year</t>
  </si>
  <si>
    <t xml:space="preserve">HSC 2015 Scheme Calculator for Members within 5 Years of Retirement Age </t>
  </si>
  <si>
    <t>2. How your pension benefits have been estimated</t>
  </si>
  <si>
    <t>Your Pension benefits are calculated in accordance with formulae as laid in the HSC Pension Scheme Regulations</t>
  </si>
  <si>
    <t>These formulae include factors such as your pensionable pay  and actuarial factors valid at 01/03/2026</t>
  </si>
  <si>
    <t xml:space="preserve"> The calculator will provide gross annual and monthly pension amounts plus a lump sum option based on accrual in the 2015 Scheme.</t>
  </si>
  <si>
    <t>Once you have entered your age at retirement you must select Proceed to 2015 Scheme Information</t>
  </si>
  <si>
    <t>This will direct the calculator to apply any necessary reduction in the calculation of your benefits if claiming prior to your NRA</t>
  </si>
  <si>
    <t xml:space="preserve">2. You will be asked to enter the value of your 2015 scheme pension as displayed on your latest ABS. </t>
  </si>
  <si>
    <t>3. You will then be asked to enter the value of the pensionable pay you expect to earn in the years leading up to your chosen retirement age</t>
  </si>
  <si>
    <t>For question 3 there could be 1 - 5 entries depending on when you hope to retire. If you intend to retire part way through a year you should enter the pensionable pay</t>
  </si>
  <si>
    <t>Once you have completed questions 2 &amp; 3 above you must select Proceed to Results</t>
  </si>
  <si>
    <t>On your statement go to Page 2 and then check information under 2015 CARE Benefits - due at State Pension Date</t>
  </si>
  <si>
    <t>You will see in the top right hand box Accrued Pension at 31/03/xxxx. Take a note of this amount and enter it in the box above</t>
  </si>
  <si>
    <t>This is capped at 5 years, so if your proposed retirement date is beyond 5 years, please use the standard 2015 Scheme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</si>
</sst>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quot;£&quot;#,##0.00"/>
    <numFmt numFmtId="43" formatCode="_-* #,##0.00_-;\-* #,##0.00_-;_-* &quot;-&quot;??_-;_-@_-"/>
    <numFmt numFmtId="164" formatCode="&quot;£&quot;#,##0.00"/>
    <numFmt numFmtId="165" formatCode="dd/mm/yyyy;@"/>
    <numFmt numFmtId="166" formatCode="0.0%"/>
    <numFmt numFmtId="167" formatCode="0.000"/>
    <numFmt numFmtId="168" formatCode="0.0000"/>
  </numFmts>
  <fonts count="57" x14ac:knownFonts="1">
    <font>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4"/>
      <color theme="1"/>
      <name val="Calibri"/>
      <family val="2"/>
      <scheme val="minor"/>
    </font>
    <font>
      <b/>
      <sz val="14"/>
      <color theme="0"/>
      <name val="Calibri"/>
      <family val="2"/>
      <scheme val="minor"/>
    </font>
    <font>
      <b/>
      <sz val="14"/>
      <color theme="1"/>
      <name val="Calibri"/>
      <family val="2"/>
      <scheme val="minor"/>
    </font>
    <font>
      <sz val="8"/>
      <name val="Calibri"/>
      <family val="2"/>
      <scheme val="minor"/>
    </font>
    <font>
      <sz val="16"/>
      <color theme="1"/>
      <name val="Calibri"/>
      <family val="2"/>
      <scheme val="minor"/>
    </font>
    <font>
      <b/>
      <sz val="20"/>
      <color theme="1"/>
      <name val="Calibri"/>
      <family val="2"/>
      <scheme val="minor"/>
    </font>
    <font>
      <b/>
      <sz val="14"/>
      <name val="Calibri"/>
      <family val="2"/>
      <scheme val="minor"/>
    </font>
    <font>
      <b/>
      <sz val="16"/>
      <color theme="1"/>
      <name val="Calibri"/>
      <family val="2"/>
      <scheme val="minor"/>
    </font>
    <font>
      <b/>
      <sz val="16"/>
      <color theme="0"/>
      <name val="Calibri"/>
      <family val="2"/>
      <scheme val="minor"/>
    </font>
    <font>
      <b/>
      <u/>
      <sz val="14"/>
      <color theme="1"/>
      <name val="Calibri"/>
      <family val="2"/>
      <scheme val="minor"/>
    </font>
    <font>
      <b/>
      <u/>
      <sz val="20"/>
      <color theme="1"/>
      <name val="Calibri"/>
      <family val="2"/>
      <scheme val="minor"/>
    </font>
    <font>
      <sz val="14"/>
      <name val="Calibri"/>
      <family val="2"/>
      <scheme val="minor"/>
    </font>
    <font>
      <sz val="14"/>
      <color theme="0"/>
      <name val="Calibri"/>
      <family val="2"/>
      <scheme val="minor"/>
    </font>
    <font>
      <b/>
      <sz val="14"/>
      <color rgb="FFFF0000"/>
      <name val="Calibri"/>
      <family val="2"/>
      <scheme val="minor"/>
    </font>
    <font>
      <b/>
      <sz val="11"/>
      <color rgb="FFFF0000"/>
      <name val="Calibri"/>
      <family val="2"/>
      <scheme val="minor"/>
    </font>
    <font>
      <sz val="14"/>
      <color theme="1"/>
      <name val="Calibri"/>
      <family val="2"/>
      <scheme val="minor"/>
    </font>
    <font>
      <b/>
      <sz val="20"/>
      <color rgb="FFFF0000"/>
      <name val="Calibri"/>
      <family val="2"/>
      <scheme val="minor"/>
    </font>
    <font>
      <b/>
      <u/>
      <sz val="14"/>
      <color rgb="FFFF0000"/>
      <name val="Calibri"/>
      <family val="2"/>
      <scheme val="minor"/>
    </font>
    <font>
      <sz val="12"/>
      <color theme="1"/>
      <name val="Calibri"/>
      <family val="2"/>
      <scheme val="minor"/>
    </font>
    <font>
      <sz val="11"/>
      <name val="Calibri"/>
      <family val="2"/>
      <scheme val="minor"/>
    </font>
    <font>
      <sz val="11"/>
      <color rgb="FFFF0000"/>
      <name val="Calibri"/>
      <family val="2"/>
      <scheme val="minor"/>
    </font>
    <font>
      <b/>
      <sz val="11"/>
      <color theme="1"/>
      <name val="Calibri"/>
      <family val="2"/>
      <scheme val="minor"/>
    </font>
    <font>
      <sz val="20"/>
      <color theme="1"/>
      <name val="Calibri"/>
      <family val="2"/>
      <scheme val="minor"/>
    </font>
    <font>
      <sz val="10"/>
      <name val="Arial"/>
      <family val="2"/>
    </font>
    <font>
      <b/>
      <sz val="14"/>
      <color rgb="FF000000"/>
      <name val="Calibri"/>
      <family val="2"/>
      <scheme val="minor"/>
    </font>
    <font>
      <b/>
      <sz val="18"/>
      <color theme="1"/>
      <name val="Calibri"/>
      <family val="2"/>
      <scheme val="minor"/>
    </font>
    <font>
      <sz val="11"/>
      <color rgb="FF000000"/>
      <name val="Calibri"/>
      <family val="2"/>
      <scheme val="minor"/>
    </font>
    <font>
      <b/>
      <sz val="11"/>
      <color theme="4" tint="0.59999389629810485"/>
      <name val="Calibri"/>
      <family val="2"/>
      <scheme val="minor"/>
    </font>
    <font>
      <b/>
      <sz val="11"/>
      <name val="Calibri"/>
      <family val="2"/>
      <scheme val="minor"/>
    </font>
    <font>
      <sz val="24"/>
      <color theme="1"/>
      <name val="Calibri"/>
      <family val="2"/>
      <scheme val="minor"/>
    </font>
    <font>
      <b/>
      <sz val="16"/>
      <color rgb="FFFF0000"/>
      <name val="Calibri"/>
      <family val="2"/>
      <scheme val="minor"/>
    </font>
    <font>
      <sz val="11"/>
      <color theme="4" tint="0.59999389629810485"/>
      <name val="Calibri"/>
      <family val="2"/>
      <scheme val="minor"/>
    </font>
    <font>
      <b/>
      <u/>
      <sz val="11"/>
      <color theme="10"/>
      <name val="Calibri"/>
      <family val="2"/>
      <scheme val="minor"/>
    </font>
    <font>
      <b/>
      <sz val="16"/>
      <name val="Calibri"/>
      <family val="2"/>
      <scheme val="minor"/>
    </font>
    <font>
      <sz val="16"/>
      <name val="Calibri"/>
      <family val="2"/>
      <scheme val="minor"/>
    </font>
    <font>
      <b/>
      <sz val="18"/>
      <name val="Calibri"/>
      <family val="2"/>
      <scheme val="minor"/>
    </font>
    <font>
      <sz val="11"/>
      <color theme="0"/>
      <name val="Calibri"/>
      <family val="2"/>
      <scheme val="minor"/>
    </font>
    <font>
      <b/>
      <sz val="11"/>
      <color theme="4" tint="0.79998168889431442"/>
      <name val="Calibri"/>
      <family val="2"/>
      <scheme val="minor"/>
    </font>
    <font>
      <b/>
      <sz val="20"/>
      <color theme="4" tint="0.79998168889431442"/>
      <name val="Calibri"/>
      <family val="2"/>
      <scheme val="minor"/>
    </font>
    <font>
      <b/>
      <sz val="14"/>
      <color theme="4" tint="0.79998168889431442"/>
      <name val="Calibri"/>
      <family val="2"/>
      <scheme val="minor"/>
    </font>
    <font>
      <b/>
      <sz val="20"/>
      <color theme="0"/>
      <name val="Calibri"/>
      <family val="2"/>
      <scheme val="minor"/>
    </font>
    <font>
      <b/>
      <sz val="26"/>
      <color theme="0"/>
      <name val="Calibri"/>
      <family val="2"/>
      <scheme val="minor"/>
    </font>
    <font>
      <b/>
      <u/>
      <sz val="16"/>
      <color theme="0"/>
      <name val="Calibri"/>
      <family val="2"/>
      <scheme val="minor"/>
    </font>
    <font>
      <b/>
      <u/>
      <sz val="18"/>
      <color theme="0"/>
      <name val="Calibri"/>
      <family val="2"/>
      <scheme val="minor"/>
    </font>
    <font>
      <sz val="26"/>
      <color theme="0"/>
      <name val="Calibri"/>
      <family val="2"/>
      <scheme val="minor"/>
    </font>
    <font>
      <b/>
      <sz val="18"/>
      <color theme="0"/>
      <name val="Calibri"/>
      <family val="2"/>
      <scheme val="minor"/>
    </font>
    <font>
      <sz val="16"/>
      <color theme="0"/>
      <name val="Calibri"/>
      <family val="2"/>
      <scheme val="minor"/>
    </font>
    <font>
      <sz val="11"/>
      <color theme="0" tint="-4.9989318521683403E-2"/>
      <name val="Calibri"/>
      <family val="2"/>
      <scheme val="minor"/>
    </font>
    <font>
      <b/>
      <sz val="18"/>
      <color theme="0" tint="-4.9989318521683403E-2"/>
      <name val="Calibri"/>
      <family val="2"/>
      <scheme val="minor"/>
    </font>
    <font>
      <sz val="18"/>
      <color theme="0" tint="-4.9989318521683403E-2"/>
      <name val="Calibri"/>
      <family val="2"/>
      <scheme val="minor"/>
    </font>
    <font>
      <sz val="26"/>
      <name val="Calibri"/>
      <family val="2"/>
      <scheme val="minor"/>
    </font>
    <font>
      <b/>
      <u/>
      <sz val="20"/>
      <color theme="0"/>
      <name val="Calibri"/>
      <family val="2"/>
      <scheme val="minor"/>
    </font>
    <font>
      <sz val="16"/>
      <color rgb="FFFF0000"/>
      <name val="Calibri"/>
      <family val="2"/>
      <scheme val="minor"/>
    </font>
  </fonts>
  <fills count="21">
    <fill>
      <patternFill patternType="none"/>
    </fill>
    <fill>
      <patternFill patternType="gray125"/>
    </fill>
    <fill>
      <patternFill patternType="solid">
        <fgColor theme="0"/>
        <bgColor indexed="64"/>
      </patternFill>
    </fill>
    <fill>
      <patternFill patternType="solid">
        <fgColor rgb="FF0000FF"/>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rgb="FFFFFF00"/>
        <bgColor indexed="64"/>
      </patternFill>
    </fill>
    <fill>
      <patternFill patternType="solid">
        <fgColor rgb="FFFFFFCC"/>
        <bgColor indexed="64"/>
      </patternFill>
    </fill>
    <fill>
      <patternFill patternType="solid">
        <fgColor rgb="FF00B050"/>
        <bgColor indexed="64"/>
      </patternFill>
    </fill>
    <fill>
      <patternFill patternType="solid">
        <fgColor rgb="FF92D050"/>
        <bgColor indexed="64"/>
      </patternFill>
    </fill>
    <fill>
      <patternFill patternType="solid">
        <fgColor theme="7" tint="0.59996337778862885"/>
        <bgColor indexed="64"/>
      </patternFill>
    </fill>
    <fill>
      <patternFill patternType="solid">
        <fgColor rgb="FFFF0000"/>
        <bgColor indexed="64"/>
      </patternFill>
    </fill>
    <fill>
      <patternFill patternType="solid">
        <fgColor theme="5" tint="0.79998168889431442"/>
        <bgColor indexed="64"/>
      </patternFill>
    </fill>
    <fill>
      <patternFill patternType="solid">
        <fgColor theme="4" tint="0.599963377788628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0" tint="-4.9989318521683403E-2"/>
        <bgColor indexed="64"/>
      </patternFill>
    </fill>
  </fills>
  <borders count="4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double">
        <color auto="1"/>
      </top>
      <bottom style="thin">
        <color auto="1"/>
      </bottom>
      <diagonal/>
    </border>
    <border>
      <left style="medium">
        <color auto="1"/>
      </left>
      <right style="thin">
        <color theme="0"/>
      </right>
      <top style="medium">
        <color auto="1"/>
      </top>
      <bottom style="thin">
        <color auto="1"/>
      </bottom>
      <diagonal/>
    </border>
    <border>
      <left style="thin">
        <color theme="0"/>
      </left>
      <right style="thin">
        <color theme="0"/>
      </right>
      <top style="medium">
        <color auto="1"/>
      </top>
      <bottom style="thin">
        <color auto="1"/>
      </bottom>
      <diagonal/>
    </border>
    <border>
      <left style="thin">
        <color theme="0"/>
      </left>
      <right style="medium">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ck">
        <color auto="1"/>
      </left>
      <right style="thick">
        <color auto="1"/>
      </right>
      <top style="thick">
        <color auto="1"/>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81">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7" fillId="0" borderId="0"/>
    <xf numFmtId="0" fontId="27" fillId="0" borderId="0"/>
    <xf numFmtId="0" fontId="2" fillId="0" borderId="0" applyNumberFormat="0" applyFill="0" applyBorder="0" applyAlignment="0" applyProtection="0"/>
  </cellStyleXfs>
  <cellXfs count="286">
    <xf numFmtId="0" fontId="0" fillId="0" borderId="0" xfId="0"/>
    <xf numFmtId="0" fontId="0" fillId="2" borderId="0" xfId="0" applyFill="1"/>
    <xf numFmtId="0" fontId="0" fillId="2" borderId="11" xfId="0" applyFill="1" applyBorder="1"/>
    <xf numFmtId="0" fontId="0" fillId="2" borderId="13" xfId="0" applyFill="1" applyBorder="1"/>
    <xf numFmtId="0" fontId="0" fillId="2" borderId="10" xfId="0" applyFill="1" applyBorder="1"/>
    <xf numFmtId="0" fontId="0" fillId="2" borderId="0" xfId="0" applyFill="1" applyBorder="1"/>
    <xf numFmtId="0" fontId="0" fillId="2" borderId="14" xfId="0" applyFill="1" applyBorder="1"/>
    <xf numFmtId="0" fontId="0" fillId="0" borderId="0" xfId="0" applyBorder="1"/>
    <xf numFmtId="10" fontId="0" fillId="2" borderId="14" xfId="0" applyNumberFormat="1" applyFill="1" applyBorder="1"/>
    <xf numFmtId="0" fontId="0" fillId="2" borderId="15" xfId="0" applyFill="1" applyBorder="1"/>
    <xf numFmtId="0" fontId="0" fillId="2" borderId="17" xfId="0" applyFill="1" applyBorder="1"/>
    <xf numFmtId="14" fontId="0" fillId="2" borderId="0" xfId="0" applyNumberFormat="1" applyFill="1" applyBorder="1"/>
    <xf numFmtId="1" fontId="0" fillId="2" borderId="0" xfId="0" applyNumberFormat="1" applyFill="1" applyBorder="1"/>
    <xf numFmtId="0" fontId="0" fillId="2" borderId="0" xfId="0" applyFill="1" applyBorder="1" applyProtection="1">
      <protection hidden="1"/>
    </xf>
    <xf numFmtId="0" fontId="4" fillId="2" borderId="0" xfId="0" applyFont="1" applyFill="1" applyBorder="1" applyAlignment="1" applyProtection="1">
      <alignment wrapText="1"/>
      <protection hidden="1"/>
    </xf>
    <xf numFmtId="0" fontId="13" fillId="2" borderId="0" xfId="0" applyFont="1" applyFill="1" applyBorder="1" applyProtection="1">
      <protection hidden="1"/>
    </xf>
    <xf numFmtId="0" fontId="4" fillId="2" borderId="0" xfId="0" applyFont="1" applyFill="1" applyBorder="1" applyAlignment="1" applyProtection="1">
      <alignment horizontal="left" indent="2"/>
      <protection hidden="1"/>
    </xf>
    <xf numFmtId="0" fontId="0" fillId="2" borderId="0" xfId="0" applyFill="1" applyProtection="1">
      <protection hidden="1"/>
    </xf>
    <xf numFmtId="10" fontId="4" fillId="2" borderId="6" xfId="0" applyNumberFormat="1" applyFont="1" applyFill="1" applyBorder="1" applyAlignment="1" applyProtection="1">
      <alignment horizontal="center" wrapText="1"/>
      <protection hidden="1"/>
    </xf>
    <xf numFmtId="0" fontId="5" fillId="3" borderId="21" xfId="0" applyFont="1" applyFill="1" applyBorder="1" applyAlignment="1" applyProtection="1">
      <alignment horizontal="center" vertical="center" wrapText="1"/>
      <protection hidden="1"/>
    </xf>
    <xf numFmtId="0" fontId="5" fillId="3" borderId="22" xfId="0" applyFont="1" applyFill="1" applyBorder="1" applyAlignment="1" applyProtection="1">
      <alignment horizontal="center" vertical="center" wrapText="1"/>
      <protection hidden="1"/>
    </xf>
    <xf numFmtId="0" fontId="5" fillId="3" borderId="23" xfId="0" applyFont="1" applyFill="1" applyBorder="1" applyAlignment="1" applyProtection="1">
      <alignment horizontal="center" vertical="center" wrapText="1"/>
      <protection hidden="1"/>
    </xf>
    <xf numFmtId="0" fontId="6" fillId="2" borderId="5" xfId="0" applyFont="1" applyFill="1" applyBorder="1" applyAlignment="1" applyProtection="1">
      <alignment horizontal="center" wrapText="1"/>
      <protection hidden="1"/>
    </xf>
    <xf numFmtId="0" fontId="6" fillId="2" borderId="1" xfId="0" applyFont="1" applyFill="1" applyBorder="1" applyAlignment="1" applyProtection="1">
      <alignment horizontal="center" wrapText="1"/>
      <protection hidden="1"/>
    </xf>
    <xf numFmtId="43" fontId="6" fillId="2" borderId="1" xfId="1" applyFont="1" applyFill="1" applyBorder="1" applyAlignment="1" applyProtection="1">
      <alignment horizontal="center" wrapText="1"/>
      <protection hidden="1"/>
    </xf>
    <xf numFmtId="43" fontId="6" fillId="2" borderId="6" xfId="1" applyFont="1" applyFill="1" applyBorder="1" applyAlignment="1" applyProtection="1">
      <alignment horizontal="center" wrapText="1"/>
      <protection hidden="1"/>
    </xf>
    <xf numFmtId="0" fontId="6" fillId="4" borderId="5" xfId="0" applyFont="1" applyFill="1" applyBorder="1" applyAlignment="1" applyProtection="1">
      <alignment horizontal="center" wrapText="1"/>
      <protection hidden="1"/>
    </xf>
    <xf numFmtId="0" fontId="6" fillId="4" borderId="1" xfId="0" applyFont="1" applyFill="1" applyBorder="1" applyAlignment="1" applyProtection="1">
      <alignment horizontal="center" wrapText="1"/>
      <protection hidden="1"/>
    </xf>
    <xf numFmtId="43" fontId="6" fillId="4" borderId="1" xfId="1" applyFont="1" applyFill="1" applyBorder="1" applyAlignment="1" applyProtection="1">
      <alignment horizontal="center" wrapText="1"/>
      <protection hidden="1"/>
    </xf>
    <xf numFmtId="0" fontId="6" fillId="2" borderId="7" xfId="0" applyFont="1" applyFill="1" applyBorder="1" applyAlignment="1" applyProtection="1">
      <alignment horizontal="center" wrapText="1"/>
      <protection hidden="1"/>
    </xf>
    <xf numFmtId="0" fontId="6" fillId="2" borderId="8" xfId="0" applyFont="1" applyFill="1" applyBorder="1" applyAlignment="1" applyProtection="1">
      <alignment horizontal="center" wrapText="1"/>
      <protection hidden="1"/>
    </xf>
    <xf numFmtId="0" fontId="0" fillId="0" borderId="0" xfId="0" applyProtection="1">
      <protection hidden="1"/>
    </xf>
    <xf numFmtId="0" fontId="9" fillId="2" borderId="0" xfId="0" applyFont="1" applyFill="1" applyAlignment="1" applyProtection="1">
      <alignment horizontal="center"/>
      <protection hidden="1"/>
    </xf>
    <xf numFmtId="0" fontId="12" fillId="6" borderId="18" xfId="0" applyFont="1" applyFill="1" applyBorder="1" applyAlignment="1" applyProtection="1">
      <alignment horizontal="center"/>
      <protection hidden="1"/>
    </xf>
    <xf numFmtId="0" fontId="8" fillId="2" borderId="19" xfId="0" applyFont="1" applyFill="1" applyBorder="1" applyAlignment="1" applyProtection="1">
      <alignment horizontal="center"/>
      <protection hidden="1"/>
    </xf>
    <xf numFmtId="10" fontId="8" fillId="2" borderId="19" xfId="0" applyNumberFormat="1" applyFont="1" applyFill="1" applyBorder="1" applyAlignment="1" applyProtection="1">
      <alignment horizontal="center"/>
      <protection hidden="1"/>
    </xf>
    <xf numFmtId="0" fontId="11" fillId="2" borderId="20" xfId="0" applyFont="1" applyFill="1" applyBorder="1" applyAlignment="1" applyProtection="1">
      <alignment horizontal="center"/>
      <protection hidden="1"/>
    </xf>
    <xf numFmtId="10" fontId="11" fillId="2" borderId="20" xfId="0" applyNumberFormat="1" applyFont="1" applyFill="1" applyBorder="1" applyAlignment="1" applyProtection="1">
      <alignment horizontal="center"/>
      <protection hidden="1"/>
    </xf>
    <xf numFmtId="10" fontId="0" fillId="0" borderId="0" xfId="0" applyNumberFormat="1" applyProtection="1">
      <protection hidden="1"/>
    </xf>
    <xf numFmtId="0" fontId="0" fillId="2" borderId="11" xfId="0" applyFill="1" applyBorder="1" applyProtection="1">
      <protection hidden="1"/>
    </xf>
    <xf numFmtId="0" fontId="0" fillId="2" borderId="12" xfId="0" applyFill="1" applyBorder="1" applyProtection="1">
      <protection hidden="1"/>
    </xf>
    <xf numFmtId="0" fontId="0" fillId="2" borderId="13" xfId="0" applyFill="1" applyBorder="1" applyProtection="1">
      <protection hidden="1"/>
    </xf>
    <xf numFmtId="0" fontId="0" fillId="2" borderId="10" xfId="0" applyFill="1" applyBorder="1" applyProtection="1">
      <protection hidden="1"/>
    </xf>
    <xf numFmtId="0" fontId="0" fillId="2" borderId="14" xfId="0" applyFill="1" applyBorder="1" applyProtection="1">
      <protection hidden="1"/>
    </xf>
    <xf numFmtId="43" fontId="0" fillId="2" borderId="10" xfId="1" applyFont="1" applyFill="1" applyBorder="1" applyProtection="1">
      <protection hidden="1"/>
    </xf>
    <xf numFmtId="3" fontId="0" fillId="2" borderId="0" xfId="1" applyNumberFormat="1" applyFont="1" applyFill="1" applyBorder="1" applyProtection="1">
      <protection hidden="1"/>
    </xf>
    <xf numFmtId="43" fontId="0" fillId="2" borderId="0" xfId="1" applyFont="1" applyFill="1" applyBorder="1" applyProtection="1">
      <protection hidden="1"/>
    </xf>
    <xf numFmtId="43" fontId="0" fillId="2" borderId="14" xfId="1" applyFont="1" applyFill="1" applyBorder="1" applyProtection="1">
      <protection hidden="1"/>
    </xf>
    <xf numFmtId="43" fontId="0" fillId="7" borderId="0" xfId="1" applyFont="1" applyFill="1" applyBorder="1" applyProtection="1">
      <protection hidden="1"/>
    </xf>
    <xf numFmtId="0" fontId="0" fillId="7" borderId="0" xfId="0" applyFill="1" applyBorder="1" applyProtection="1">
      <protection hidden="1"/>
    </xf>
    <xf numFmtId="43" fontId="0" fillId="2" borderId="15" xfId="1" applyFont="1" applyFill="1" applyBorder="1" applyProtection="1">
      <protection hidden="1"/>
    </xf>
    <xf numFmtId="0" fontId="0" fillId="7" borderId="16" xfId="0" applyFill="1" applyBorder="1" applyProtection="1">
      <protection hidden="1"/>
    </xf>
    <xf numFmtId="43" fontId="0" fillId="0" borderId="0" xfId="0" applyNumberFormat="1" applyProtection="1">
      <protection hidden="1"/>
    </xf>
    <xf numFmtId="1" fontId="16" fillId="9" borderId="6" xfId="1" applyNumberFormat="1" applyFont="1" applyFill="1" applyBorder="1" applyAlignment="1" applyProtection="1">
      <alignment horizontal="center" wrapText="1"/>
      <protection hidden="1"/>
    </xf>
    <xf numFmtId="10" fontId="15" fillId="2" borderId="4" xfId="0" applyNumberFormat="1" applyFont="1" applyFill="1" applyBorder="1" applyAlignment="1" applyProtection="1">
      <alignment horizontal="center" wrapText="1"/>
      <protection hidden="1"/>
    </xf>
    <xf numFmtId="165" fontId="15" fillId="2" borderId="6" xfId="1" applyNumberFormat="1" applyFont="1" applyFill="1" applyBorder="1" applyAlignment="1" applyProtection="1">
      <alignment horizontal="center" wrapText="1"/>
      <protection hidden="1"/>
    </xf>
    <xf numFmtId="1" fontId="15" fillId="2" borderId="6" xfId="1" applyNumberFormat="1" applyFont="1" applyFill="1" applyBorder="1" applyAlignment="1" applyProtection="1">
      <alignment horizontal="center" wrapText="1"/>
      <protection hidden="1"/>
    </xf>
    <xf numFmtId="10" fontId="15" fillId="2" borderId="9" xfId="0" applyNumberFormat="1" applyFont="1" applyFill="1" applyBorder="1" applyAlignment="1" applyProtection="1">
      <alignment horizontal="center" wrapText="1"/>
      <protection hidden="1"/>
    </xf>
    <xf numFmtId="164" fontId="4" fillId="10" borderId="4" xfId="1" applyNumberFormat="1" applyFont="1" applyFill="1" applyBorder="1" applyAlignment="1" applyProtection="1">
      <alignment horizontal="center" wrapText="1"/>
      <protection locked="0"/>
    </xf>
    <xf numFmtId="0" fontId="17" fillId="2" borderId="0" xfId="0" applyFont="1" applyFill="1" applyBorder="1" applyProtection="1">
      <protection hidden="1"/>
    </xf>
    <xf numFmtId="0" fontId="18" fillId="2" borderId="0" xfId="0" applyFont="1" applyFill="1" applyBorder="1" applyProtection="1">
      <protection hidden="1"/>
    </xf>
    <xf numFmtId="0" fontId="19" fillId="2" borderId="0" xfId="0" applyFont="1" applyFill="1" applyBorder="1" applyProtection="1">
      <protection hidden="1"/>
    </xf>
    <xf numFmtId="166" fontId="4" fillId="2" borderId="6" xfId="0" applyNumberFormat="1" applyFont="1" applyFill="1" applyBorder="1" applyAlignment="1" applyProtection="1">
      <alignment horizontal="center" wrapText="1"/>
      <protection hidden="1"/>
    </xf>
    <xf numFmtId="0" fontId="20" fillId="11" borderId="0" xfId="0" applyFont="1" applyFill="1" applyProtection="1">
      <protection hidden="1"/>
    </xf>
    <xf numFmtId="0" fontId="0" fillId="11" borderId="0" xfId="0" applyFill="1" applyProtection="1">
      <protection hidden="1"/>
    </xf>
    <xf numFmtId="0" fontId="6" fillId="11" borderId="0" xfId="0" applyFont="1" applyFill="1" applyProtection="1">
      <protection hidden="1"/>
    </xf>
    <xf numFmtId="0" fontId="21" fillId="11" borderId="0" xfId="0" applyFont="1" applyFill="1" applyProtection="1">
      <protection hidden="1"/>
    </xf>
    <xf numFmtId="43" fontId="0" fillId="11" borderId="0" xfId="0" applyNumberFormat="1" applyFill="1" applyProtection="1">
      <protection hidden="1"/>
    </xf>
    <xf numFmtId="2" fontId="0" fillId="11" borderId="0" xfId="0" applyNumberFormat="1" applyFill="1" applyProtection="1">
      <protection hidden="1"/>
    </xf>
    <xf numFmtId="0" fontId="4" fillId="11" borderId="0" xfId="0" applyFont="1" applyFill="1" applyProtection="1">
      <protection hidden="1"/>
    </xf>
    <xf numFmtId="164" fontId="6" fillId="11" borderId="0" xfId="0" applyNumberFormat="1" applyFont="1" applyFill="1" applyAlignment="1" applyProtection="1">
      <protection hidden="1"/>
    </xf>
    <xf numFmtId="10" fontId="4" fillId="11" borderId="0" xfId="0" applyNumberFormat="1" applyFont="1" applyFill="1" applyProtection="1">
      <protection hidden="1"/>
    </xf>
    <xf numFmtId="0" fontId="22" fillId="11" borderId="0" xfId="0" applyFont="1" applyFill="1" applyProtection="1">
      <protection hidden="1"/>
    </xf>
    <xf numFmtId="164" fontId="6" fillId="11" borderId="1" xfId="0" applyNumberFormat="1" applyFont="1" applyFill="1" applyBorder="1" applyAlignment="1" applyProtection="1">
      <protection hidden="1"/>
    </xf>
    <xf numFmtId="10" fontId="6" fillId="11" borderId="1" xfId="0" applyNumberFormat="1" applyFont="1" applyFill="1" applyBorder="1" applyProtection="1">
      <protection hidden="1"/>
    </xf>
    <xf numFmtId="0" fontId="10" fillId="11" borderId="0" xfId="0" applyFont="1" applyFill="1" applyProtection="1">
      <protection hidden="1"/>
    </xf>
    <xf numFmtId="0" fontId="23" fillId="11" borderId="0" xfId="0" applyFont="1" applyFill="1" applyProtection="1">
      <protection hidden="1"/>
    </xf>
    <xf numFmtId="0" fontId="10" fillId="0" borderId="0" xfId="0" applyFont="1" applyFill="1" applyProtection="1">
      <protection hidden="1"/>
    </xf>
    <xf numFmtId="0" fontId="6" fillId="10" borderId="1" xfId="0" applyFont="1" applyFill="1" applyBorder="1" applyProtection="1">
      <protection locked="0" hidden="1"/>
    </xf>
    <xf numFmtId="164" fontId="6" fillId="12" borderId="1" xfId="0" applyNumberFormat="1" applyFont="1" applyFill="1" applyBorder="1" applyProtection="1">
      <protection hidden="1"/>
    </xf>
    <xf numFmtId="167" fontId="0" fillId="11" borderId="0" xfId="0" applyNumberFormat="1" applyFill="1" applyProtection="1">
      <protection hidden="1"/>
    </xf>
    <xf numFmtId="168" fontId="6" fillId="11" borderId="1" xfId="0" applyNumberFormat="1" applyFont="1" applyFill="1" applyBorder="1" applyProtection="1">
      <protection hidden="1"/>
    </xf>
    <xf numFmtId="164" fontId="6" fillId="11" borderId="0" xfId="0" applyNumberFormat="1" applyFont="1" applyFill="1" applyAlignment="1">
      <alignment vertical="center"/>
    </xf>
    <xf numFmtId="14" fontId="0" fillId="0" borderId="0" xfId="0" applyNumberFormat="1" applyProtection="1">
      <protection hidden="1"/>
    </xf>
    <xf numFmtId="0" fontId="0" fillId="7" borderId="0" xfId="0" applyFill="1" applyProtection="1">
      <protection hidden="1"/>
    </xf>
    <xf numFmtId="14" fontId="0" fillId="0" borderId="0" xfId="0" applyNumberFormat="1"/>
    <xf numFmtId="0" fontId="24" fillId="10" borderId="0" xfId="0" applyFont="1" applyFill="1" applyProtection="1">
      <protection hidden="1"/>
    </xf>
    <xf numFmtId="0" fontId="24" fillId="10" borderId="12" xfId="0" applyFont="1" applyFill="1" applyBorder="1" applyProtection="1">
      <protection hidden="1"/>
    </xf>
    <xf numFmtId="0" fontId="24" fillId="10" borderId="13" xfId="0" applyFont="1" applyFill="1" applyBorder="1" applyProtection="1">
      <protection hidden="1"/>
    </xf>
    <xf numFmtId="0" fontId="24" fillId="10" borderId="14" xfId="0" applyFont="1" applyFill="1" applyBorder="1" applyProtection="1">
      <protection hidden="1"/>
    </xf>
    <xf numFmtId="43" fontId="24" fillId="10" borderId="14" xfId="1" applyFont="1" applyFill="1" applyBorder="1" applyProtection="1">
      <protection hidden="1"/>
    </xf>
    <xf numFmtId="43" fontId="0" fillId="7" borderId="14" xfId="1" applyFont="1" applyFill="1" applyBorder="1" applyProtection="1">
      <protection hidden="1"/>
    </xf>
    <xf numFmtId="43" fontId="25" fillId="0" borderId="0" xfId="0" applyNumberFormat="1" applyFont="1" applyProtection="1">
      <protection hidden="1"/>
    </xf>
    <xf numFmtId="43" fontId="25" fillId="2" borderId="14" xfId="1" applyFont="1" applyFill="1" applyBorder="1" applyProtection="1">
      <protection hidden="1"/>
    </xf>
    <xf numFmtId="165" fontId="4" fillId="0" borderId="9" xfId="1" applyNumberFormat="1" applyFont="1" applyFill="1" applyBorder="1" applyAlignment="1" applyProtection="1">
      <alignment horizontal="center" wrapText="1"/>
      <protection locked="0"/>
    </xf>
    <xf numFmtId="0" fontId="26" fillId="11" borderId="11" xfId="0" applyFont="1" applyFill="1" applyBorder="1" applyProtection="1">
      <protection hidden="1"/>
    </xf>
    <xf numFmtId="0" fontId="26" fillId="11" borderId="12" xfId="0" applyFont="1" applyFill="1" applyBorder="1" applyProtection="1">
      <protection hidden="1"/>
    </xf>
    <xf numFmtId="0" fontId="0" fillId="11" borderId="12" xfId="0" applyFill="1" applyBorder="1" applyProtection="1">
      <protection hidden="1"/>
    </xf>
    <xf numFmtId="0" fontId="0" fillId="11" borderId="13" xfId="0" applyFill="1" applyBorder="1" applyProtection="1">
      <protection hidden="1"/>
    </xf>
    <xf numFmtId="0" fontId="26" fillId="11" borderId="10" xfId="0" applyFont="1" applyFill="1" applyBorder="1" applyProtection="1">
      <protection hidden="1"/>
    </xf>
    <xf numFmtId="0" fontId="9" fillId="11" borderId="0" xfId="0" applyFont="1" applyFill="1" applyBorder="1" applyProtection="1">
      <protection hidden="1"/>
    </xf>
    <xf numFmtId="0" fontId="25" fillId="11" borderId="0" xfId="0" applyFont="1" applyFill="1" applyBorder="1" applyProtection="1">
      <protection hidden="1"/>
    </xf>
    <xf numFmtId="0" fontId="0" fillId="11" borderId="0" xfId="0" applyFill="1" applyBorder="1" applyProtection="1">
      <protection hidden="1"/>
    </xf>
    <xf numFmtId="0" fontId="26" fillId="11" borderId="0" xfId="0" applyFont="1" applyFill="1" applyBorder="1" applyProtection="1">
      <protection hidden="1"/>
    </xf>
    <xf numFmtId="0" fontId="0" fillId="8" borderId="0" xfId="0" applyFill="1" applyBorder="1" applyProtection="1">
      <protection hidden="1"/>
    </xf>
    <xf numFmtId="0" fontId="0" fillId="8" borderId="0" xfId="0" applyFill="1" applyProtection="1">
      <protection hidden="1"/>
    </xf>
    <xf numFmtId="0" fontId="0" fillId="11" borderId="14" xfId="0" applyFill="1" applyBorder="1" applyProtection="1">
      <protection hidden="1"/>
    </xf>
    <xf numFmtId="0" fontId="0" fillId="8" borderId="27" xfId="0" applyFill="1" applyBorder="1" applyProtection="1">
      <protection hidden="1"/>
    </xf>
    <xf numFmtId="0" fontId="0" fillId="8" borderId="28" xfId="0" applyFill="1" applyBorder="1" applyProtection="1">
      <protection hidden="1"/>
    </xf>
    <xf numFmtId="0" fontId="0" fillId="8" borderId="30" xfId="0" applyFill="1" applyBorder="1" applyProtection="1">
      <protection hidden="1"/>
    </xf>
    <xf numFmtId="0" fontId="0" fillId="11" borderId="0" xfId="0" applyFill="1" applyBorder="1" applyAlignment="1" applyProtection="1">
      <alignment vertical="top"/>
      <protection hidden="1"/>
    </xf>
    <xf numFmtId="0" fontId="0" fillId="0" borderId="0" xfId="0" applyBorder="1" applyProtection="1">
      <protection hidden="1"/>
    </xf>
    <xf numFmtId="0" fontId="9" fillId="2" borderId="26" xfId="0" applyFont="1" applyFill="1" applyBorder="1" applyProtection="1">
      <protection hidden="1"/>
    </xf>
    <xf numFmtId="0" fontId="9" fillId="2" borderId="27" xfId="0" applyFont="1" applyFill="1" applyBorder="1" applyProtection="1">
      <protection hidden="1"/>
    </xf>
    <xf numFmtId="0" fontId="9" fillId="2" borderId="0" xfId="0" applyFont="1" applyFill="1" applyBorder="1" applyProtection="1">
      <protection hidden="1"/>
    </xf>
    <xf numFmtId="0" fontId="26" fillId="2" borderId="27" xfId="0" applyFont="1" applyFill="1" applyBorder="1" applyProtection="1">
      <protection hidden="1"/>
    </xf>
    <xf numFmtId="0" fontId="0" fillId="2" borderId="27" xfId="0" applyFill="1" applyBorder="1" applyProtection="1">
      <protection hidden="1"/>
    </xf>
    <xf numFmtId="0" fontId="0" fillId="2" borderId="28" xfId="0" applyFill="1" applyBorder="1" applyProtection="1">
      <protection hidden="1"/>
    </xf>
    <xf numFmtId="0" fontId="26" fillId="2" borderId="29" xfId="0" applyFont="1" applyFill="1" applyBorder="1" applyProtection="1">
      <protection hidden="1"/>
    </xf>
    <xf numFmtId="0" fontId="26" fillId="2" borderId="0" xfId="0" applyFont="1" applyFill="1" applyBorder="1" applyProtection="1">
      <protection hidden="1"/>
    </xf>
    <xf numFmtId="0" fontId="0" fillId="2" borderId="30" xfId="0" applyFill="1" applyBorder="1" applyProtection="1">
      <protection hidden="1"/>
    </xf>
    <xf numFmtId="0" fontId="6" fillId="2" borderId="29" xfId="0" applyFont="1" applyFill="1" applyBorder="1" applyProtection="1">
      <protection hidden="1"/>
    </xf>
    <xf numFmtId="0" fontId="6" fillId="2" borderId="0" xfId="0" applyFont="1" applyFill="1" applyBorder="1" applyAlignment="1" applyProtection="1">
      <protection hidden="1"/>
    </xf>
    <xf numFmtId="0" fontId="25" fillId="2" borderId="0" xfId="0" applyFont="1" applyFill="1" applyBorder="1" applyProtection="1">
      <protection hidden="1"/>
    </xf>
    <xf numFmtId="0" fontId="0" fillId="2" borderId="29" xfId="0" applyFill="1" applyBorder="1" applyProtection="1">
      <protection hidden="1"/>
    </xf>
    <xf numFmtId="0" fontId="13" fillId="2" borderId="29" xfId="0" applyFont="1" applyFill="1" applyBorder="1" applyProtection="1">
      <protection hidden="1"/>
    </xf>
    <xf numFmtId="0" fontId="6" fillId="2" borderId="29" xfId="0" applyFont="1" applyFill="1" applyBorder="1" applyAlignment="1" applyProtection="1">
      <alignment horizontal="left" indent="2"/>
      <protection hidden="1"/>
    </xf>
    <xf numFmtId="0" fontId="10" fillId="2" borderId="29" xfId="0" applyFont="1" applyFill="1" applyBorder="1" applyProtection="1">
      <protection hidden="1"/>
    </xf>
    <xf numFmtId="0" fontId="17" fillId="2" borderId="29" xfId="0" applyFont="1" applyFill="1" applyBorder="1" applyProtection="1">
      <protection hidden="1"/>
    </xf>
    <xf numFmtId="0" fontId="26" fillId="14" borderId="26" xfId="0" applyFont="1" applyFill="1" applyBorder="1" applyProtection="1">
      <protection hidden="1"/>
    </xf>
    <xf numFmtId="0" fontId="9" fillId="14" borderId="27" xfId="0" applyFont="1" applyFill="1" applyBorder="1" applyProtection="1">
      <protection hidden="1"/>
    </xf>
    <xf numFmtId="0" fontId="25" fillId="14" borderId="27" xfId="0" applyFont="1" applyFill="1" applyBorder="1" applyProtection="1">
      <protection hidden="1"/>
    </xf>
    <xf numFmtId="0" fontId="0" fillId="14" borderId="27" xfId="0" applyFill="1" applyBorder="1" applyProtection="1">
      <protection hidden="1"/>
    </xf>
    <xf numFmtId="0" fontId="0" fillId="14" borderId="28" xfId="0" applyFill="1" applyBorder="1" applyProtection="1">
      <protection hidden="1"/>
    </xf>
    <xf numFmtId="0" fontId="26" fillId="14" borderId="29" xfId="0" applyFont="1" applyFill="1" applyBorder="1" applyProtection="1">
      <protection hidden="1"/>
    </xf>
    <xf numFmtId="0" fontId="9" fillId="14" borderId="0" xfId="0" applyFont="1" applyFill="1" applyBorder="1" applyProtection="1">
      <protection hidden="1"/>
    </xf>
    <xf numFmtId="0" fontId="25" fillId="14" borderId="0" xfId="0" applyFont="1" applyFill="1" applyBorder="1" applyProtection="1">
      <protection hidden="1"/>
    </xf>
    <xf numFmtId="0" fontId="0" fillId="14" borderId="0" xfId="0" applyFill="1" applyBorder="1" applyProtection="1">
      <protection hidden="1"/>
    </xf>
    <xf numFmtId="0" fontId="0" fillId="14" borderId="30" xfId="0" applyFill="1" applyBorder="1" applyProtection="1">
      <protection hidden="1"/>
    </xf>
    <xf numFmtId="0" fontId="26" fillId="14" borderId="0" xfId="0" applyFont="1" applyFill="1" applyBorder="1" applyProtection="1">
      <protection hidden="1"/>
    </xf>
    <xf numFmtId="0" fontId="6" fillId="2" borderId="0" xfId="0" applyFont="1" applyFill="1" applyBorder="1" applyProtection="1">
      <protection hidden="1"/>
    </xf>
    <xf numFmtId="0" fontId="14" fillId="11" borderId="12" xfId="0" applyFont="1" applyFill="1" applyBorder="1" applyProtection="1">
      <protection hidden="1"/>
    </xf>
    <xf numFmtId="0" fontId="14" fillId="14" borderId="27" xfId="0" applyFont="1" applyFill="1" applyBorder="1" applyProtection="1">
      <protection hidden="1"/>
    </xf>
    <xf numFmtId="0" fontId="26" fillId="14" borderId="31" xfId="0" applyFont="1" applyFill="1" applyBorder="1" applyProtection="1">
      <protection hidden="1"/>
    </xf>
    <xf numFmtId="0" fontId="9" fillId="14" borderId="32" xfId="0" applyFont="1" applyFill="1" applyBorder="1" applyProtection="1">
      <protection hidden="1"/>
    </xf>
    <xf numFmtId="0" fontId="26" fillId="14" borderId="32" xfId="0" applyFont="1" applyFill="1" applyBorder="1" applyProtection="1">
      <protection hidden="1"/>
    </xf>
    <xf numFmtId="0" fontId="0" fillId="14" borderId="32" xfId="0" applyFill="1" applyBorder="1" applyProtection="1">
      <protection hidden="1"/>
    </xf>
    <xf numFmtId="0" fontId="0" fillId="14" borderId="33" xfId="0" applyFill="1" applyBorder="1" applyProtection="1">
      <protection hidden="1"/>
    </xf>
    <xf numFmtId="0" fontId="9" fillId="10" borderId="34" xfId="0" applyFont="1" applyFill="1" applyBorder="1" applyProtection="1">
      <protection locked="0" hidden="1"/>
    </xf>
    <xf numFmtId="164" fontId="9" fillId="10" borderId="34" xfId="0" applyNumberFormat="1" applyFont="1" applyFill="1" applyBorder="1" applyProtection="1">
      <protection locked="0" hidden="1"/>
    </xf>
    <xf numFmtId="7" fontId="9" fillId="13" borderId="34" xfId="0" applyNumberFormat="1" applyFont="1" applyFill="1" applyBorder="1" applyProtection="1">
      <protection hidden="1"/>
    </xf>
    <xf numFmtId="10" fontId="9" fillId="13" borderId="34" xfId="0" applyNumberFormat="1" applyFont="1" applyFill="1" applyBorder="1" applyProtection="1">
      <protection hidden="1"/>
    </xf>
    <xf numFmtId="164" fontId="9" fillId="2" borderId="34" xfId="0" applyNumberFormat="1" applyFont="1" applyFill="1" applyBorder="1" applyProtection="1">
      <protection hidden="1"/>
    </xf>
    <xf numFmtId="10" fontId="9" fillId="15" borderId="34" xfId="0" applyNumberFormat="1" applyFont="1" applyFill="1" applyBorder="1" applyProtection="1">
      <protection hidden="1"/>
    </xf>
    <xf numFmtId="164" fontId="9" fillId="13" borderId="34" xfId="0" applyNumberFormat="1" applyFont="1" applyFill="1" applyBorder="1" applyProtection="1">
      <protection hidden="1"/>
    </xf>
    <xf numFmtId="0" fontId="6" fillId="0" borderId="0" xfId="0" applyFont="1" applyProtection="1">
      <protection hidden="1"/>
    </xf>
    <xf numFmtId="0" fontId="0" fillId="0" borderId="0" xfId="0" applyAlignment="1" applyProtection="1">
      <alignment wrapText="1"/>
      <protection hidden="1"/>
    </xf>
    <xf numFmtId="0" fontId="25" fillId="0" borderId="0" xfId="0" applyFont="1" applyAlignment="1" applyProtection="1">
      <alignment wrapText="1"/>
      <protection hidden="1"/>
    </xf>
    <xf numFmtId="0" fontId="6" fillId="0" borderId="0" xfId="0" applyFont="1" applyAlignment="1" applyProtection="1">
      <alignment wrapText="1"/>
      <protection hidden="1"/>
    </xf>
    <xf numFmtId="0" fontId="11" fillId="0" borderId="0" xfId="0" applyFont="1" applyAlignment="1" applyProtection="1">
      <alignment wrapText="1"/>
      <protection hidden="1"/>
    </xf>
    <xf numFmtId="0" fontId="25" fillId="2" borderId="36" xfId="0" applyFont="1" applyFill="1" applyBorder="1" applyProtection="1">
      <protection hidden="1"/>
    </xf>
    <xf numFmtId="0" fontId="25" fillId="2" borderId="37" xfId="0" applyFont="1" applyFill="1" applyBorder="1" applyProtection="1">
      <protection hidden="1"/>
    </xf>
    <xf numFmtId="0" fontId="6" fillId="2" borderId="38" xfId="0" applyFont="1" applyFill="1" applyBorder="1" applyProtection="1">
      <protection hidden="1"/>
    </xf>
    <xf numFmtId="0" fontId="25" fillId="2" borderId="39" xfId="0" applyFont="1" applyFill="1" applyBorder="1" applyProtection="1">
      <protection hidden="1"/>
    </xf>
    <xf numFmtId="0" fontId="6" fillId="2" borderId="40" xfId="0" applyFont="1" applyFill="1" applyBorder="1" applyProtection="1">
      <protection hidden="1"/>
    </xf>
    <xf numFmtId="0" fontId="6" fillId="2" borderId="41" xfId="0" applyFont="1" applyFill="1" applyBorder="1" applyProtection="1">
      <protection hidden="1"/>
    </xf>
    <xf numFmtId="0" fontId="25" fillId="2" borderId="41" xfId="0" applyFont="1" applyFill="1" applyBorder="1" applyProtection="1">
      <protection hidden="1"/>
    </xf>
    <xf numFmtId="0" fontId="25" fillId="2" borderId="42" xfId="0" applyFont="1" applyFill="1" applyBorder="1" applyProtection="1">
      <protection hidden="1"/>
    </xf>
    <xf numFmtId="0" fontId="25" fillId="2" borderId="35" xfId="0" applyFont="1" applyFill="1" applyBorder="1" applyProtection="1">
      <protection hidden="1"/>
    </xf>
    <xf numFmtId="0" fontId="11" fillId="2" borderId="38" xfId="0" applyFont="1" applyFill="1" applyBorder="1" applyProtection="1">
      <protection hidden="1"/>
    </xf>
    <xf numFmtId="0" fontId="25" fillId="2" borderId="38" xfId="0" applyFont="1" applyFill="1" applyBorder="1" applyProtection="1">
      <protection hidden="1"/>
    </xf>
    <xf numFmtId="0" fontId="25" fillId="2" borderId="40" xfId="0" applyFont="1" applyFill="1" applyBorder="1" applyProtection="1">
      <protection hidden="1"/>
    </xf>
    <xf numFmtId="164" fontId="6" fillId="12" borderId="34" xfId="0" applyNumberFormat="1" applyFont="1" applyFill="1" applyBorder="1" applyProtection="1">
      <protection hidden="1"/>
    </xf>
    <xf numFmtId="164" fontId="6" fillId="2" borderId="0" xfId="0" applyNumberFormat="1" applyFont="1" applyFill="1" applyBorder="1" applyProtection="1">
      <protection hidden="1"/>
    </xf>
    <xf numFmtId="0" fontId="11" fillId="2" borderId="0" xfId="0" applyFont="1" applyFill="1" applyBorder="1" applyProtection="1">
      <protection hidden="1"/>
    </xf>
    <xf numFmtId="0" fontId="6" fillId="2" borderId="39" xfId="0" applyFont="1" applyFill="1" applyBorder="1" applyProtection="1">
      <protection hidden="1"/>
    </xf>
    <xf numFmtId="0" fontId="6" fillId="2" borderId="42" xfId="0" applyFont="1" applyFill="1" applyBorder="1" applyProtection="1">
      <protection hidden="1"/>
    </xf>
    <xf numFmtId="0" fontId="6" fillId="2" borderId="36" xfId="0" applyFont="1" applyFill="1" applyBorder="1" applyProtection="1">
      <protection hidden="1"/>
    </xf>
    <xf numFmtId="0" fontId="6" fillId="2" borderId="37" xfId="0" applyFont="1" applyFill="1" applyBorder="1" applyProtection="1">
      <protection hidden="1"/>
    </xf>
    <xf numFmtId="0" fontId="17" fillId="2" borderId="38" xfId="0" applyFont="1" applyFill="1" applyBorder="1" applyProtection="1">
      <protection hidden="1"/>
    </xf>
    <xf numFmtId="0" fontId="0" fillId="2" borderId="40" xfId="0" applyFill="1" applyBorder="1" applyProtection="1">
      <protection hidden="1"/>
    </xf>
    <xf numFmtId="0" fontId="0" fillId="2" borderId="41" xfId="0" applyFill="1" applyBorder="1" applyProtection="1">
      <protection hidden="1"/>
    </xf>
    <xf numFmtId="0" fontId="6" fillId="10" borderId="34" xfId="0" applyFont="1" applyFill="1" applyBorder="1" applyProtection="1">
      <protection locked="0" hidden="1"/>
    </xf>
    <xf numFmtId="164" fontId="6" fillId="10" borderId="34" xfId="0" applyNumberFormat="1" applyFont="1" applyFill="1" applyBorder="1" applyProtection="1">
      <protection locked="0" hidden="1"/>
    </xf>
    <xf numFmtId="10" fontId="6" fillId="12" borderId="34" xfId="0" applyNumberFormat="1" applyFont="1" applyFill="1" applyBorder="1" applyProtection="1">
      <protection hidden="1"/>
    </xf>
    <xf numFmtId="0" fontId="0" fillId="2" borderId="38" xfId="0" applyFill="1" applyBorder="1" applyProtection="1">
      <protection hidden="1"/>
    </xf>
    <xf numFmtId="0" fontId="0" fillId="2" borderId="39" xfId="0" applyFill="1" applyBorder="1" applyProtection="1">
      <protection hidden="1"/>
    </xf>
    <xf numFmtId="0" fontId="0" fillId="2" borderId="42" xfId="0" applyFill="1" applyBorder="1" applyProtection="1">
      <protection hidden="1"/>
    </xf>
    <xf numFmtId="0" fontId="4" fillId="2" borderId="39" xfId="0" applyFont="1" applyFill="1" applyBorder="1" applyProtection="1">
      <protection hidden="1"/>
    </xf>
    <xf numFmtId="0" fontId="28" fillId="0" borderId="38" xfId="0" applyFont="1" applyBorder="1" applyAlignment="1">
      <alignment vertical="center"/>
    </xf>
    <xf numFmtId="0" fontId="28" fillId="0" borderId="38" xfId="0" applyFont="1" applyBorder="1"/>
    <xf numFmtId="0" fontId="29" fillId="2" borderId="35" xfId="0" applyFont="1" applyFill="1" applyBorder="1" applyProtection="1">
      <protection hidden="1"/>
    </xf>
    <xf numFmtId="0" fontId="29" fillId="2" borderId="36" xfId="0" applyFont="1" applyFill="1" applyBorder="1" applyProtection="1">
      <protection hidden="1"/>
    </xf>
    <xf numFmtId="0" fontId="0" fillId="16" borderId="0" xfId="0" applyFill="1" applyProtection="1">
      <protection hidden="1"/>
    </xf>
    <xf numFmtId="0" fontId="0" fillId="0" borderId="0" xfId="0" applyAlignment="1">
      <alignment vertical="center"/>
    </xf>
    <xf numFmtId="0" fontId="30" fillId="0" borderId="0" xfId="0" applyFont="1" applyAlignment="1">
      <alignment vertical="center"/>
    </xf>
    <xf numFmtId="0" fontId="6" fillId="2" borderId="0" xfId="0" applyFont="1" applyFill="1" applyBorder="1" applyAlignment="1" applyProtection="1">
      <alignment horizontal="right"/>
      <protection hidden="1"/>
    </xf>
    <xf numFmtId="164" fontId="0" fillId="0" borderId="0" xfId="0" applyNumberFormat="1"/>
    <xf numFmtId="164" fontId="0" fillId="0" borderId="0" xfId="0" applyNumberFormat="1" applyProtection="1">
      <protection hidden="1"/>
    </xf>
    <xf numFmtId="0" fontId="0" fillId="17" borderId="0" xfId="0" applyFill="1"/>
    <xf numFmtId="0" fontId="25" fillId="17" borderId="0" xfId="0" applyFont="1" applyFill="1"/>
    <xf numFmtId="164" fontId="25" fillId="17" borderId="0" xfId="0" applyNumberFormat="1" applyFont="1" applyFill="1"/>
    <xf numFmtId="0" fontId="25" fillId="0" borderId="0" xfId="0" applyFont="1" applyFill="1"/>
    <xf numFmtId="4" fontId="25" fillId="17" borderId="0" xfId="0" applyNumberFormat="1" applyFont="1" applyFill="1"/>
    <xf numFmtId="0" fontId="31" fillId="17" borderId="0" xfId="0" applyFont="1" applyFill="1"/>
    <xf numFmtId="0" fontId="32" fillId="17" borderId="0" xfId="0" applyFont="1" applyFill="1"/>
    <xf numFmtId="0" fontId="8" fillId="0" borderId="0" xfId="0" applyFont="1"/>
    <xf numFmtId="0" fontId="8" fillId="5" borderId="0" xfId="0" applyFont="1" applyFill="1"/>
    <xf numFmtId="0" fontId="0" fillId="5" borderId="0" xfId="0" applyFill="1"/>
    <xf numFmtId="0" fontId="25" fillId="5" borderId="0" xfId="0" applyFont="1" applyFill="1"/>
    <xf numFmtId="0" fontId="11" fillId="5" borderId="0" xfId="0" applyFont="1" applyFill="1"/>
    <xf numFmtId="164" fontId="11" fillId="0" borderId="0" xfId="0" applyNumberFormat="1" applyFont="1" applyFill="1"/>
    <xf numFmtId="164" fontId="11" fillId="5" borderId="0" xfId="0" applyNumberFormat="1" applyFont="1" applyFill="1"/>
    <xf numFmtId="0" fontId="0" fillId="19" borderId="0" xfId="0" applyFill="1" applyProtection="1">
      <protection hidden="1"/>
    </xf>
    <xf numFmtId="0" fontId="45" fillId="19" borderId="0" xfId="0" applyFont="1" applyFill="1" applyAlignment="1" applyProtection="1">
      <alignment vertical="center"/>
      <protection hidden="1"/>
    </xf>
    <xf numFmtId="0" fontId="48" fillId="19" borderId="0" xfId="0" applyFont="1" applyFill="1" applyProtection="1">
      <protection hidden="1"/>
    </xf>
    <xf numFmtId="0" fontId="40" fillId="19" borderId="0" xfId="0" applyFont="1" applyFill="1" applyProtection="1">
      <protection hidden="1"/>
    </xf>
    <xf numFmtId="0" fontId="9" fillId="19" borderId="0" xfId="0" applyFont="1" applyFill="1" applyAlignment="1" applyProtection="1">
      <alignment vertical="center"/>
      <protection hidden="1"/>
    </xf>
    <xf numFmtId="0" fontId="23" fillId="20" borderId="0" xfId="0" applyFont="1" applyFill="1" applyProtection="1">
      <protection hidden="1"/>
    </xf>
    <xf numFmtId="0" fontId="44" fillId="19" borderId="0" xfId="0" applyFont="1" applyFill="1" applyProtection="1">
      <protection hidden="1"/>
    </xf>
    <xf numFmtId="0" fontId="12" fillId="19" borderId="0" xfId="0" applyFont="1" applyFill="1" applyProtection="1">
      <protection hidden="1"/>
    </xf>
    <xf numFmtId="0" fontId="50" fillId="19" borderId="0" xfId="0" applyFont="1" applyFill="1" applyProtection="1">
      <protection hidden="1"/>
    </xf>
    <xf numFmtId="0" fontId="38" fillId="20" borderId="0" xfId="0" applyFont="1" applyFill="1" applyProtection="1">
      <protection hidden="1"/>
    </xf>
    <xf numFmtId="0" fontId="37" fillId="20" borderId="0" xfId="0" applyFont="1" applyFill="1" applyProtection="1">
      <protection hidden="1"/>
    </xf>
    <xf numFmtId="0" fontId="32" fillId="20" borderId="0" xfId="0" applyFont="1" applyFill="1" applyProtection="1">
      <protection hidden="1"/>
    </xf>
    <xf numFmtId="0" fontId="39" fillId="20" borderId="0" xfId="0" applyFont="1" applyFill="1" applyProtection="1">
      <protection hidden="1"/>
    </xf>
    <xf numFmtId="0" fontId="49" fillId="19" borderId="34" xfId="0" applyFont="1" applyFill="1" applyBorder="1" applyProtection="1">
      <protection locked="0" hidden="1"/>
    </xf>
    <xf numFmtId="0" fontId="44" fillId="19" borderId="34" xfId="0" applyFont="1" applyFill="1" applyBorder="1" applyProtection="1">
      <protection locked="0" hidden="1"/>
    </xf>
    <xf numFmtId="164" fontId="49" fillId="19" borderId="34" xfId="0" applyNumberFormat="1" applyFont="1" applyFill="1" applyBorder="1" applyProtection="1">
      <protection locked="0" hidden="1"/>
    </xf>
    <xf numFmtId="164" fontId="12" fillId="19" borderId="34" xfId="0" applyNumberFormat="1" applyFont="1" applyFill="1" applyBorder="1" applyProtection="1">
      <protection hidden="1"/>
    </xf>
    <xf numFmtId="0" fontId="54" fillId="19" borderId="0" xfId="0" applyFont="1" applyFill="1" applyProtection="1">
      <protection hidden="1"/>
    </xf>
    <xf numFmtId="0" fontId="23" fillId="19" borderId="0" xfId="0" applyFont="1" applyFill="1" applyProtection="1">
      <protection hidden="1"/>
    </xf>
    <xf numFmtId="0" fontId="41" fillId="19" borderId="0" xfId="0" applyFont="1" applyFill="1" applyProtection="1">
      <protection hidden="1"/>
    </xf>
    <xf numFmtId="0" fontId="45" fillId="19" borderId="0" xfId="0" applyFont="1" applyFill="1" applyProtection="1">
      <protection hidden="1"/>
    </xf>
    <xf numFmtId="0" fontId="43" fillId="19" borderId="0" xfId="0" applyFont="1" applyFill="1" applyProtection="1">
      <protection hidden="1"/>
    </xf>
    <xf numFmtId="0" fontId="42" fillId="19" borderId="0" xfId="0" applyFont="1" applyFill="1" applyProtection="1">
      <protection hidden="1"/>
    </xf>
    <xf numFmtId="0" fontId="25" fillId="20" borderId="0" xfId="0" applyFont="1" applyFill="1" applyProtection="1">
      <protection hidden="1"/>
    </xf>
    <xf numFmtId="0" fontId="9" fillId="20" borderId="0" xfId="0" applyFont="1" applyFill="1" applyProtection="1">
      <protection hidden="1"/>
    </xf>
    <xf numFmtId="0" fontId="6" fillId="20" borderId="0" xfId="0" applyFont="1" applyFill="1" applyProtection="1">
      <protection hidden="1"/>
    </xf>
    <xf numFmtId="0" fontId="11" fillId="20" borderId="0" xfId="0" applyFont="1" applyFill="1" applyProtection="1">
      <protection hidden="1"/>
    </xf>
    <xf numFmtId="0" fontId="11" fillId="20" borderId="0" xfId="0" applyFont="1" applyFill="1" applyAlignment="1" applyProtection="1">
      <alignment vertical="center"/>
      <protection hidden="1"/>
    </xf>
    <xf numFmtId="0" fontId="47" fillId="19" borderId="0" xfId="80" applyFont="1" applyFill="1" applyProtection="1">
      <protection hidden="1"/>
    </xf>
    <xf numFmtId="0" fontId="25" fillId="2" borderId="0" xfId="0" applyFont="1" applyFill="1" applyProtection="1">
      <protection hidden="1"/>
    </xf>
    <xf numFmtId="0" fontId="25" fillId="5" borderId="0" xfId="0" applyFont="1" applyFill="1" applyProtection="1">
      <protection hidden="1"/>
    </xf>
    <xf numFmtId="0" fontId="0" fillId="20" borderId="0" xfId="0" applyFill="1" applyProtection="1">
      <protection hidden="1"/>
    </xf>
    <xf numFmtId="0" fontId="29" fillId="20" borderId="0" xfId="0" applyFont="1" applyFill="1" applyAlignment="1" applyProtection="1">
      <alignment vertical="center"/>
      <protection hidden="1"/>
    </xf>
    <xf numFmtId="0" fontId="6" fillId="20" borderId="0" xfId="0" applyFont="1" applyFill="1" applyAlignment="1" applyProtection="1">
      <alignment vertical="center"/>
      <protection hidden="1"/>
    </xf>
    <xf numFmtId="0" fontId="4" fillId="20" borderId="0" xfId="0" applyFont="1" applyFill="1" applyProtection="1">
      <protection hidden="1"/>
    </xf>
    <xf numFmtId="0" fontId="6" fillId="20" borderId="0" xfId="0" applyFont="1" applyFill="1" applyBorder="1" applyProtection="1">
      <protection hidden="1"/>
    </xf>
    <xf numFmtId="0" fontId="36" fillId="20" borderId="0" xfId="80" applyFont="1" applyFill="1" applyAlignment="1" applyProtection="1">
      <alignment vertical="center"/>
      <protection hidden="1"/>
    </xf>
    <xf numFmtId="0" fontId="25" fillId="20" borderId="0" xfId="0" applyFont="1" applyFill="1" applyAlignment="1" applyProtection="1">
      <alignment horizontal="left" vertical="center" indent="3"/>
      <protection hidden="1"/>
    </xf>
    <xf numFmtId="0" fontId="46" fillId="19" borderId="0" xfId="80" applyFont="1" applyFill="1" applyProtection="1">
      <protection hidden="1"/>
    </xf>
    <xf numFmtId="0" fontId="0" fillId="5" borderId="0" xfId="0" applyFill="1" applyProtection="1">
      <protection hidden="1"/>
    </xf>
    <xf numFmtId="0" fontId="51" fillId="19" borderId="0" xfId="0" applyFont="1" applyFill="1" applyProtection="1">
      <protection hidden="1"/>
    </xf>
    <xf numFmtId="0" fontId="51" fillId="20" borderId="0" xfId="0" applyFont="1" applyFill="1" applyProtection="1">
      <protection hidden="1"/>
    </xf>
    <xf numFmtId="0" fontId="26" fillId="20" borderId="0" xfId="0" applyFont="1" applyFill="1" applyProtection="1">
      <protection hidden="1"/>
    </xf>
    <xf numFmtId="0" fontId="8" fillId="20" borderId="0" xfId="0" applyFont="1" applyFill="1" applyProtection="1">
      <protection hidden="1"/>
    </xf>
    <xf numFmtId="0" fontId="33" fillId="20" borderId="0" xfId="0" applyFont="1" applyFill="1" applyProtection="1">
      <protection hidden="1"/>
    </xf>
    <xf numFmtId="0" fontId="29" fillId="20" borderId="0" xfId="0" applyFont="1" applyFill="1" applyProtection="1">
      <protection hidden="1"/>
    </xf>
    <xf numFmtId="0" fontId="35" fillId="20" borderId="0" xfId="0" applyFont="1" applyFill="1" applyProtection="1">
      <protection hidden="1"/>
    </xf>
    <xf numFmtId="0" fontId="49" fillId="19" borderId="0" xfId="0" applyFont="1" applyFill="1" applyProtection="1">
      <protection hidden="1"/>
    </xf>
    <xf numFmtId="0" fontId="0" fillId="18" borderId="0" xfId="0" applyFill="1" applyProtection="1">
      <protection hidden="1"/>
    </xf>
    <xf numFmtId="0" fontId="34" fillId="20" borderId="0" xfId="0" applyFont="1" applyFill="1" applyProtection="1">
      <protection hidden="1"/>
    </xf>
    <xf numFmtId="164" fontId="11" fillId="20" borderId="0" xfId="0" applyNumberFormat="1" applyFont="1" applyFill="1" applyProtection="1">
      <protection hidden="1"/>
    </xf>
    <xf numFmtId="0" fontId="52" fillId="19" borderId="0" xfId="0" applyFont="1" applyFill="1" applyProtection="1">
      <protection hidden="1"/>
    </xf>
    <xf numFmtId="0" fontId="53" fillId="19" borderId="0" xfId="0" applyFont="1" applyFill="1" applyProtection="1">
      <protection hidden="1"/>
    </xf>
    <xf numFmtId="0" fontId="11" fillId="20" borderId="0" xfId="0" applyFont="1" applyFill="1" applyAlignment="1">
      <alignment vertical="center"/>
    </xf>
    <xf numFmtId="0" fontId="55" fillId="19" borderId="0" xfId="80" applyFont="1" applyFill="1" applyProtection="1">
      <protection hidden="1"/>
    </xf>
    <xf numFmtId="0" fontId="56" fillId="20" borderId="0" xfId="0" applyFont="1" applyFill="1" applyProtection="1">
      <protection hidden="1"/>
    </xf>
    <xf numFmtId="0" fontId="10" fillId="0" borderId="24" xfId="0" applyFont="1" applyFill="1" applyBorder="1" applyAlignment="1" applyProtection="1">
      <alignment horizontal="left" vertical="center" wrapText="1"/>
      <protection hidden="1"/>
    </xf>
    <xf numFmtId="0" fontId="10" fillId="0" borderId="25" xfId="0" applyFont="1" applyFill="1" applyBorder="1" applyAlignment="1" applyProtection="1">
      <alignment horizontal="left" vertical="center" wrapText="1"/>
      <protection hidden="1"/>
    </xf>
    <xf numFmtId="0" fontId="9" fillId="2" borderId="12" xfId="0" applyFont="1" applyFill="1" applyBorder="1" applyAlignment="1" applyProtection="1">
      <alignment horizontal="center"/>
      <protection hidden="1"/>
    </xf>
    <xf numFmtId="0" fontId="10" fillId="5" borderId="2" xfId="0" applyFont="1" applyFill="1" applyBorder="1" applyAlignment="1" applyProtection="1">
      <alignment horizontal="left" vertical="center" wrapText="1"/>
      <protection hidden="1"/>
    </xf>
    <xf numFmtId="0" fontId="10" fillId="5" borderId="3" xfId="0" applyFont="1" applyFill="1" applyBorder="1" applyAlignment="1" applyProtection="1">
      <alignment horizontal="left" vertical="center" wrapText="1"/>
      <protection hidden="1"/>
    </xf>
    <xf numFmtId="0" fontId="10" fillId="5" borderId="5" xfId="0" applyFont="1" applyFill="1" applyBorder="1" applyAlignment="1" applyProtection="1">
      <alignment horizontal="left" vertical="center" wrapText="1"/>
      <protection hidden="1"/>
    </xf>
    <xf numFmtId="0" fontId="10" fillId="5" borderId="1" xfId="0" applyFont="1" applyFill="1" applyBorder="1" applyAlignment="1" applyProtection="1">
      <alignment horizontal="left" vertical="center" wrapText="1"/>
      <protection hidden="1"/>
    </xf>
    <xf numFmtId="0" fontId="4" fillId="2" borderId="0" xfId="0" applyFont="1" applyFill="1" applyBorder="1" applyAlignment="1" applyProtection="1">
      <alignment wrapText="1"/>
      <protection hidden="1"/>
    </xf>
    <xf numFmtId="0" fontId="14" fillId="2" borderId="0" xfId="0" applyFont="1" applyFill="1" applyAlignment="1" applyProtection="1">
      <alignment horizontal="center"/>
      <protection hidden="1"/>
    </xf>
    <xf numFmtId="0" fontId="15" fillId="8" borderId="2" xfId="0" applyFont="1" applyFill="1" applyBorder="1" applyAlignment="1" applyProtection="1">
      <alignment horizontal="left" vertical="center" wrapText="1"/>
      <protection hidden="1"/>
    </xf>
    <xf numFmtId="0" fontId="15" fillId="8" borderId="3" xfId="0" applyFont="1" applyFill="1" applyBorder="1" applyAlignment="1" applyProtection="1">
      <alignment horizontal="left" vertical="center" wrapText="1"/>
      <protection hidden="1"/>
    </xf>
    <xf numFmtId="0" fontId="15" fillId="8" borderId="5" xfId="0" applyFont="1" applyFill="1" applyBorder="1" applyAlignment="1" applyProtection="1">
      <alignment horizontal="left" vertical="center" wrapText="1"/>
      <protection hidden="1"/>
    </xf>
    <xf numFmtId="0" fontId="15" fillId="8" borderId="1" xfId="0" applyFont="1" applyFill="1" applyBorder="1" applyAlignment="1" applyProtection="1">
      <alignment horizontal="left" vertical="center" wrapText="1"/>
      <protection hidden="1"/>
    </xf>
    <xf numFmtId="0" fontId="15" fillId="8" borderId="7" xfId="0" applyFont="1" applyFill="1" applyBorder="1" applyAlignment="1" applyProtection="1">
      <alignment horizontal="left" vertical="center" wrapText="1"/>
      <protection hidden="1"/>
    </xf>
    <xf numFmtId="0" fontId="15" fillId="8" borderId="8" xfId="0" applyFont="1" applyFill="1" applyBorder="1" applyAlignment="1" applyProtection="1">
      <alignment horizontal="left" vertical="center" wrapText="1"/>
      <protection hidden="1"/>
    </xf>
    <xf numFmtId="0" fontId="16" fillId="9" borderId="2" xfId="0" applyFont="1" applyFill="1" applyBorder="1" applyAlignment="1" applyProtection="1">
      <alignment horizontal="left" vertical="center" wrapText="1"/>
      <protection hidden="1"/>
    </xf>
    <xf numFmtId="0" fontId="16" fillId="9" borderId="3" xfId="0" applyFont="1" applyFill="1" applyBorder="1" applyAlignment="1" applyProtection="1">
      <alignment horizontal="left" vertical="center" wrapText="1"/>
      <protection hidden="1"/>
    </xf>
  </cellXfs>
  <cellStyles count="81">
    <cellStyle name="Comma" xfId="1" builtinId="3"/>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80" builtinId="8"/>
    <cellStyle name="Normal" xfId="0" builtinId="0"/>
    <cellStyle name="Normal 2 2" xfId="78" xr:uid="{00000000-0005-0000-0000-00004E000000}"/>
    <cellStyle name="Normal 3" xfId="79" xr:uid="{00000000-0005-0000-0000-00004F000000}"/>
  </cellStyles>
  <dxfs count="12">
    <dxf>
      <fill>
        <patternFill>
          <bgColor rgb="FF00B050"/>
        </patternFill>
      </fill>
    </dxf>
    <dxf>
      <fill>
        <patternFill>
          <bgColor rgb="FFFFC000"/>
        </patternFill>
      </fill>
    </dxf>
    <dxf>
      <fill>
        <patternFill>
          <bgColor rgb="FFFFC7CE"/>
        </patternFill>
      </fill>
    </dxf>
    <dxf>
      <fill>
        <patternFill>
          <bgColor rgb="FFFF0000"/>
        </patternFill>
      </fill>
    </dxf>
    <dxf>
      <fill>
        <patternFill>
          <bgColor rgb="FF00B050"/>
        </patternFill>
      </fill>
    </dxf>
    <dxf>
      <fill>
        <patternFill>
          <bgColor rgb="FFFFC000"/>
        </patternFill>
      </fill>
    </dxf>
    <dxf>
      <fill>
        <patternFill>
          <bgColor rgb="FFFFC7CE"/>
        </patternFill>
      </fill>
    </dxf>
    <dxf>
      <fill>
        <patternFill>
          <bgColor rgb="FFFF0000"/>
        </patternFill>
      </fill>
    </dxf>
    <dxf>
      <fill>
        <patternFill>
          <bgColor rgb="FF00B050"/>
        </patternFill>
      </fill>
    </dxf>
    <dxf>
      <fill>
        <patternFill>
          <bgColor rgb="FFFFC000"/>
        </patternFill>
      </fill>
    </dxf>
    <dxf>
      <fill>
        <patternFill>
          <bgColor rgb="FFFFC7CE"/>
        </patternFill>
      </fill>
    </dxf>
    <dxf>
      <fill>
        <patternFill>
          <bgColor rgb="FFFF0000"/>
        </patternFill>
      </fill>
    </dxf>
  </dxfs>
  <tableStyles count="0" defaultTableStyle="TableStyleMedium2" defaultPivotStyle="PivotStyleLight16"/>
  <colors>
    <mruColors>
      <color rgb="FFFFFF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9"/>
  <sheetViews>
    <sheetView showGridLines="0" topLeftCell="A10" zoomScale="80" zoomScaleNormal="80" workbookViewId="0">
      <selection activeCell="B11" sqref="B11"/>
    </sheetView>
  </sheetViews>
  <sheetFormatPr defaultColWidth="10.85546875" defaultRowHeight="15" x14ac:dyDescent="0.25"/>
  <cols>
    <col min="1" max="1" width="10.85546875" customWidth="1"/>
    <col min="2" max="4" width="27.140625" customWidth="1"/>
    <col min="5" max="5" width="28.42578125" bestFit="1" customWidth="1"/>
    <col min="6" max="6" width="29.140625" customWidth="1"/>
    <col min="7" max="8" width="27.140625" customWidth="1"/>
    <col min="10" max="10" width="20.140625" bestFit="1" customWidth="1"/>
  </cols>
  <sheetData>
    <row r="1" spans="1:9" ht="26.1" x14ac:dyDescent="0.6">
      <c r="A1" s="2"/>
      <c r="B1" s="271" t="s">
        <v>62</v>
      </c>
      <c r="C1" s="271"/>
      <c r="D1" s="271"/>
      <c r="E1" s="271"/>
      <c r="F1" s="271"/>
      <c r="G1" s="271"/>
      <c r="H1" s="271"/>
      <c r="I1" s="3"/>
    </row>
    <row r="2" spans="1:9" ht="14.45" x14ac:dyDescent="0.35">
      <c r="A2" s="4"/>
      <c r="B2" s="13"/>
      <c r="C2" s="13"/>
      <c r="D2" s="13"/>
      <c r="E2" s="13"/>
      <c r="F2" s="13"/>
      <c r="G2" s="13"/>
      <c r="H2" s="13"/>
      <c r="I2" s="6"/>
    </row>
    <row r="3" spans="1:9" ht="18" customHeight="1" x14ac:dyDescent="0.25">
      <c r="A3" s="4"/>
      <c r="B3" s="276" t="s">
        <v>19</v>
      </c>
      <c r="C3" s="276"/>
      <c r="D3" s="276"/>
      <c r="E3" s="276"/>
      <c r="F3" s="276"/>
      <c r="G3" s="276"/>
      <c r="H3" s="276"/>
      <c r="I3" s="6"/>
    </row>
    <row r="4" spans="1:9" ht="18" customHeight="1" x14ac:dyDescent="0.25">
      <c r="A4" s="4"/>
      <c r="B4" s="276"/>
      <c r="C4" s="276"/>
      <c r="D4" s="276"/>
      <c r="E4" s="276"/>
      <c r="F4" s="276"/>
      <c r="G4" s="276"/>
      <c r="H4" s="276"/>
      <c r="I4" s="6"/>
    </row>
    <row r="5" spans="1:9" ht="18" customHeight="1" x14ac:dyDescent="0.25">
      <c r="A5" s="4"/>
      <c r="B5" s="276"/>
      <c r="C5" s="276"/>
      <c r="D5" s="276"/>
      <c r="E5" s="276"/>
      <c r="F5" s="276"/>
      <c r="G5" s="276"/>
      <c r="H5" s="276"/>
      <c r="I5" s="6"/>
    </row>
    <row r="6" spans="1:9" ht="18" customHeight="1" x14ac:dyDescent="0.3">
      <c r="A6" s="4"/>
      <c r="C6" s="14"/>
      <c r="D6" s="14"/>
      <c r="E6" s="14"/>
      <c r="F6" s="14"/>
      <c r="G6" s="14"/>
      <c r="H6" s="14"/>
      <c r="I6" s="6"/>
    </row>
    <row r="7" spans="1:9" ht="18.75" x14ac:dyDescent="0.3">
      <c r="A7" s="4"/>
      <c r="B7" s="15" t="s">
        <v>8</v>
      </c>
      <c r="C7" s="13"/>
      <c r="D7" s="13"/>
      <c r="E7" s="13"/>
      <c r="F7" s="13"/>
      <c r="G7" s="13"/>
      <c r="H7" s="13"/>
      <c r="I7" s="6"/>
    </row>
    <row r="8" spans="1:9" ht="18.75" x14ac:dyDescent="0.3">
      <c r="A8" s="4"/>
      <c r="B8" s="16" t="s">
        <v>40</v>
      </c>
      <c r="C8" s="13"/>
      <c r="D8" s="13"/>
      <c r="E8" s="13"/>
      <c r="F8" s="13"/>
      <c r="G8" s="13"/>
      <c r="H8" s="13"/>
      <c r="I8" s="6"/>
    </row>
    <row r="9" spans="1:9" ht="18.75" x14ac:dyDescent="0.3">
      <c r="A9" s="4"/>
      <c r="B9" s="16" t="s">
        <v>21</v>
      </c>
      <c r="C9" s="13"/>
      <c r="D9" s="13"/>
      <c r="E9" s="13"/>
      <c r="F9" s="13"/>
      <c r="G9" s="13"/>
      <c r="H9" s="13"/>
      <c r="I9" s="6"/>
    </row>
    <row r="10" spans="1:9" ht="18.75" x14ac:dyDescent="0.3">
      <c r="A10" s="4"/>
      <c r="B10" s="16" t="s">
        <v>60</v>
      </c>
      <c r="C10" s="13"/>
      <c r="D10" s="13"/>
      <c r="E10" s="13"/>
      <c r="F10" s="13"/>
      <c r="G10" s="13"/>
      <c r="H10" s="13"/>
      <c r="I10" s="6"/>
    </row>
    <row r="11" spans="1:9" ht="18.75" x14ac:dyDescent="0.3">
      <c r="A11" s="4"/>
      <c r="B11" s="61" t="s">
        <v>20</v>
      </c>
      <c r="C11" s="13"/>
      <c r="D11" s="13"/>
      <c r="E11" s="13"/>
      <c r="F11" s="17"/>
      <c r="G11" s="17"/>
      <c r="H11" s="17"/>
      <c r="I11" s="6"/>
    </row>
    <row r="12" spans="1:9" ht="18.75" x14ac:dyDescent="0.3">
      <c r="A12" s="4"/>
      <c r="B12" s="77" t="s">
        <v>61</v>
      </c>
      <c r="C12" s="60"/>
      <c r="D12" s="60"/>
      <c r="E12" s="60"/>
      <c r="F12" s="17"/>
      <c r="G12" s="17"/>
      <c r="H12" s="17"/>
      <c r="I12" s="6"/>
    </row>
    <row r="13" spans="1:9" ht="19.5" thickBot="1" x14ac:dyDescent="0.35">
      <c r="A13" s="4"/>
      <c r="B13" s="59" t="s">
        <v>42</v>
      </c>
      <c r="C13" s="5"/>
      <c r="D13" s="5"/>
      <c r="E13" s="5"/>
      <c r="F13" s="5"/>
      <c r="G13" s="5"/>
      <c r="H13" s="5"/>
      <c r="I13" s="6"/>
    </row>
    <row r="14" spans="1:9" ht="18.75" customHeight="1" x14ac:dyDescent="0.3">
      <c r="A14" s="4"/>
      <c r="B14" s="272" t="s">
        <v>2</v>
      </c>
      <c r="C14" s="273"/>
      <c r="D14" s="58">
        <f>'2015 Calculator Age 67'!K21</f>
        <v>40000</v>
      </c>
      <c r="E14" s="5"/>
      <c r="F14" s="7"/>
      <c r="G14" s="7"/>
      <c r="H14" s="7"/>
      <c r="I14" s="6"/>
    </row>
    <row r="15" spans="1:9" ht="19.5" customHeight="1" x14ac:dyDescent="0.3">
      <c r="A15" s="4"/>
      <c r="B15" s="274" t="s">
        <v>3</v>
      </c>
      <c r="C15" s="275"/>
      <c r="D15" s="62">
        <v>5.0000000000000001E-3</v>
      </c>
      <c r="E15" s="5"/>
      <c r="F15" s="7"/>
      <c r="G15" s="7"/>
      <c r="H15" s="7"/>
      <c r="I15" s="6"/>
    </row>
    <row r="16" spans="1:9" ht="18.75" x14ac:dyDescent="0.3">
      <c r="A16" s="4"/>
      <c r="B16" s="274" t="s">
        <v>45</v>
      </c>
      <c r="C16" s="275"/>
      <c r="D16" s="18">
        <v>0.02</v>
      </c>
      <c r="E16" s="5"/>
      <c r="F16" s="1"/>
      <c r="G16" s="1"/>
      <c r="H16" s="1"/>
      <c r="I16" s="6"/>
    </row>
    <row r="17" spans="1:9" ht="19.5" thickBot="1" x14ac:dyDescent="0.35">
      <c r="A17" s="4"/>
      <c r="B17" s="269"/>
      <c r="C17" s="270"/>
      <c r="D17" s="94"/>
      <c r="E17" s="5"/>
      <c r="F17" s="11"/>
      <c r="G17" s="12"/>
      <c r="H17" s="11"/>
      <c r="I17" s="6"/>
    </row>
    <row r="18" spans="1:9" ht="18.95" customHeight="1" thickBot="1" x14ac:dyDescent="0.3">
      <c r="A18" s="4"/>
      <c r="B18" s="7"/>
      <c r="C18" s="5"/>
      <c r="D18" s="5"/>
      <c r="E18" s="5"/>
      <c r="F18" s="5"/>
      <c r="G18" s="5"/>
      <c r="H18" s="5"/>
      <c r="I18" s="6"/>
    </row>
    <row r="19" spans="1:9" ht="72.95" customHeight="1" x14ac:dyDescent="0.25">
      <c r="A19" s="4"/>
      <c r="B19" s="19" t="s">
        <v>7</v>
      </c>
      <c r="C19" s="20" t="s">
        <v>0</v>
      </c>
      <c r="D19" s="20" t="s">
        <v>5</v>
      </c>
      <c r="E19" s="20" t="s">
        <v>12</v>
      </c>
      <c r="F19" s="20" t="s">
        <v>11</v>
      </c>
      <c r="G19" s="20" t="s">
        <v>13</v>
      </c>
      <c r="H19" s="21" t="s">
        <v>16</v>
      </c>
      <c r="I19" s="8"/>
    </row>
    <row r="20" spans="1:9" ht="18.75" x14ac:dyDescent="0.3">
      <c r="A20" s="4"/>
      <c r="B20" s="22">
        <v>1</v>
      </c>
      <c r="C20" s="23">
        <v>2016</v>
      </c>
      <c r="D20" s="23">
        <f>'2015 Calculator Age 67'!K19</f>
        <v>61</v>
      </c>
      <c r="E20" s="24">
        <f>IF(D20&lt;=Variables!$C$4,D14,0)</f>
        <v>40000</v>
      </c>
      <c r="F20" s="24">
        <f>E20*Variables!$C$2</f>
        <v>740.74074074074065</v>
      </c>
      <c r="G20" s="24">
        <f>VLOOKUP(B20,Revaluation!$B$3:$BC$56, MATCH((Variables!$C$4-($D$20-1)),Revaluation!$B$2:$BC$2,0),FALSE)</f>
        <v>834.19438463999973</v>
      </c>
      <c r="H20" s="25">
        <f>IF(D20&lt;=Variables!$C$4, (SUM($G$20:G20)), 0)</f>
        <v>834.19438463999973</v>
      </c>
      <c r="I20" s="6"/>
    </row>
    <row r="21" spans="1:9" ht="18.75" x14ac:dyDescent="0.3">
      <c r="A21" s="4"/>
      <c r="B21" s="26">
        <v>2</v>
      </c>
      <c r="C21" s="27">
        <v>2017</v>
      </c>
      <c r="D21" s="27">
        <f>D20+1</f>
        <v>62</v>
      </c>
      <c r="E21" s="28">
        <f>IF(D21&lt;=Variables!$C$4,(E20*(100%+$D$15)),0)</f>
        <v>40199.999999999993</v>
      </c>
      <c r="F21" s="28">
        <f>E21*Variables!$C$2</f>
        <v>744.44444444444423</v>
      </c>
      <c r="G21" s="24">
        <f>VLOOKUP(B21,Revaluation!$B$3:$BC$56, MATCH((Variables!$C$4-($D$20-1)),Revaluation!$B$2:$BC$2,0),FALSE)</f>
        <v>821.92682015999981</v>
      </c>
      <c r="H21" s="25">
        <f>IF(D21&lt;=Variables!$C$4, (SUM($G$20:G21)), 0)</f>
        <v>1656.1212047999995</v>
      </c>
      <c r="I21" s="6"/>
    </row>
    <row r="22" spans="1:9" ht="18.75" x14ac:dyDescent="0.3">
      <c r="A22" s="4"/>
      <c r="B22" s="22">
        <v>3</v>
      </c>
      <c r="C22" s="23">
        <v>2018</v>
      </c>
      <c r="D22" s="23">
        <f t="shared" ref="D22:D40" si="0">D21+1</f>
        <v>63</v>
      </c>
      <c r="E22" s="24">
        <f>IF(D22&lt;=Variables!$C$4,(E21*(100%+$D$15)),0)</f>
        <v>40400.999999999985</v>
      </c>
      <c r="F22" s="24">
        <f>E22*Variables!$C$2</f>
        <v>748.1666666666664</v>
      </c>
      <c r="G22" s="24">
        <f>VLOOKUP(B22,Revaluation!$B$3:$BC$56, MATCH((Variables!$C$4-($D$20-1)),Revaluation!$B$2:$BC$2,0),FALSE)</f>
        <v>809.83966103999978</v>
      </c>
      <c r="H22" s="25">
        <f>IF(D22&lt;=Variables!$C$4, (SUM($G$20:G22)), 0)</f>
        <v>2465.9608658399993</v>
      </c>
      <c r="I22" s="6"/>
    </row>
    <row r="23" spans="1:9" ht="18.75" x14ac:dyDescent="0.3">
      <c r="A23" s="4"/>
      <c r="B23" s="26">
        <v>4</v>
      </c>
      <c r="C23" s="27">
        <v>2019</v>
      </c>
      <c r="D23" s="27">
        <f t="shared" si="0"/>
        <v>64</v>
      </c>
      <c r="E23" s="28">
        <f>IF(D23&lt;=Variables!$C$4,(E22*(100%+$D$15)),0)</f>
        <v>40603.004999999983</v>
      </c>
      <c r="F23" s="28">
        <f>E23*Variables!$C$2</f>
        <v>751.90749999999969</v>
      </c>
      <c r="G23" s="24">
        <f>VLOOKUP(B23,Revaluation!$B$3:$BC$56, MATCH((Variables!$C$4-($D$20-1)),Revaluation!$B$2:$BC$2,0),FALSE)</f>
        <v>797.93025425999974</v>
      </c>
      <c r="H23" s="25">
        <f>IF(D23&lt;=Variables!$C$4, (SUM($G$20:G23)), 0)</f>
        <v>3263.8911200999992</v>
      </c>
      <c r="I23" s="6"/>
    </row>
    <row r="24" spans="1:9" ht="18.75" x14ac:dyDescent="0.3">
      <c r="A24" s="4"/>
      <c r="B24" s="22">
        <v>5</v>
      </c>
      <c r="C24" s="23">
        <v>2020</v>
      </c>
      <c r="D24" s="23">
        <f t="shared" si="0"/>
        <v>65</v>
      </c>
      <c r="E24" s="24">
        <f>IF(D24&lt;=Variables!$C$4,(E23*(100%+$D$15)),0)</f>
        <v>40806.020024999976</v>
      </c>
      <c r="F24" s="24">
        <f>E24*Variables!$C$2</f>
        <v>755.66703749999954</v>
      </c>
      <c r="G24" s="24">
        <f>VLOOKUP(B24,Revaluation!$B$3:$BC$56, MATCH((Variables!$C$4-($D$20-1)),Revaluation!$B$2:$BC$2,0),FALSE)</f>
        <v>786.19598581499952</v>
      </c>
      <c r="H24" s="25">
        <f>IF(D24&lt;=Variables!$C$4, (SUM($G$20:G24)), 0)</f>
        <v>4050.0871059149986</v>
      </c>
      <c r="I24" s="6"/>
    </row>
    <row r="25" spans="1:9" ht="18.75" x14ac:dyDescent="0.3">
      <c r="A25" s="4"/>
      <c r="B25" s="26">
        <v>6</v>
      </c>
      <c r="C25" s="27">
        <v>2021</v>
      </c>
      <c r="D25" s="27">
        <f t="shared" si="0"/>
        <v>66</v>
      </c>
      <c r="E25" s="28">
        <f>IF(D25&lt;=Variables!$C$4,(E24*(100%+$D$15)),0)</f>
        <v>41010.050125124973</v>
      </c>
      <c r="F25" s="28">
        <f>E25*Variables!$C$2</f>
        <v>759.44537268749946</v>
      </c>
      <c r="G25" s="24">
        <f>VLOOKUP(B25,Revaluation!$B$3:$BC$56, MATCH((Variables!$C$4-($D$20-1)),Revaluation!$B$2:$BC$2,0),FALSE)</f>
        <v>774.63428014124941</v>
      </c>
      <c r="H25" s="25">
        <f>IF(D25&lt;=Variables!$C$4, (SUM($G$20:G25)), 0)</f>
        <v>4824.7213860562479</v>
      </c>
      <c r="I25" s="6"/>
    </row>
    <row r="26" spans="1:9" ht="18.75" x14ac:dyDescent="0.3">
      <c r="A26" s="4"/>
      <c r="B26" s="22">
        <v>7</v>
      </c>
      <c r="C26" s="23">
        <v>2022</v>
      </c>
      <c r="D26" s="23">
        <f t="shared" si="0"/>
        <v>67</v>
      </c>
      <c r="E26" s="24">
        <f>IF(D26&lt;=Variables!$C$4,(E25*(100%+$D$15)),0)</f>
        <v>41215.100375750597</v>
      </c>
      <c r="F26" s="24">
        <f>E26*Variables!$C$2</f>
        <v>763.24259955093692</v>
      </c>
      <c r="G26" s="24">
        <f>VLOOKUP(B26,Revaluation!$B$3:$BC$56, MATCH((Variables!$C$4-($D$20-1)),Revaluation!$B$2:$BC$2,0),FALSE)</f>
        <v>763.24259955093692</v>
      </c>
      <c r="H26" s="25">
        <f>IF(D26&lt;=Variables!$C$4, (SUM($G$20:G26)), 0)</f>
        <v>5587.9639856071844</v>
      </c>
      <c r="I26" s="6"/>
    </row>
    <row r="27" spans="1:9" ht="18.75" x14ac:dyDescent="0.3">
      <c r="A27" s="4"/>
      <c r="B27" s="26">
        <v>8</v>
      </c>
      <c r="C27" s="27">
        <v>2023</v>
      </c>
      <c r="D27" s="27">
        <f t="shared" si="0"/>
        <v>68</v>
      </c>
      <c r="E27" s="28">
        <f>IF(D27&lt;=Variables!$C$4,(E26*(100%+$D$15)),0)</f>
        <v>0</v>
      </c>
      <c r="F27" s="28">
        <f>E27*Variables!$C$2</f>
        <v>0</v>
      </c>
      <c r="G27" s="24">
        <f>VLOOKUP(B27,Revaluation!$B$3:$BC$56, MATCH((Variables!$C$4-($D$20-1)),Revaluation!$B$2:$BC$2,0),FALSE)</f>
        <v>0</v>
      </c>
      <c r="H27" s="25">
        <f>IF(D27&lt;=Variables!$C$4, (SUM($G$20:G27)), 0)</f>
        <v>0</v>
      </c>
      <c r="I27" s="6"/>
    </row>
    <row r="28" spans="1:9" ht="18.75" x14ac:dyDescent="0.3">
      <c r="A28" s="4"/>
      <c r="B28" s="22">
        <v>9</v>
      </c>
      <c r="C28" s="23">
        <v>2024</v>
      </c>
      <c r="D28" s="23">
        <f t="shared" si="0"/>
        <v>69</v>
      </c>
      <c r="E28" s="24">
        <f>IF(D28&lt;=Variables!$C$4,(E27*(100%+$D$15)),0)</f>
        <v>0</v>
      </c>
      <c r="F28" s="24">
        <f>E28*Variables!$C$2</f>
        <v>0</v>
      </c>
      <c r="G28" s="24">
        <f>VLOOKUP(B28,Revaluation!$B$3:$BC$56, MATCH((Variables!$C$4-($D$20-1)),Revaluation!$B$2:$BC$2,0),FALSE)</f>
        <v>0</v>
      </c>
      <c r="H28" s="25">
        <f>IF(D28&lt;=Variables!$C$4, (SUM($G$20:G28)), 0)</f>
        <v>0</v>
      </c>
      <c r="I28" s="6"/>
    </row>
    <row r="29" spans="1:9" ht="18.75" x14ac:dyDescent="0.3">
      <c r="A29" s="4"/>
      <c r="B29" s="26">
        <v>10</v>
      </c>
      <c r="C29" s="27">
        <v>2025</v>
      </c>
      <c r="D29" s="27">
        <f t="shared" si="0"/>
        <v>70</v>
      </c>
      <c r="E29" s="28">
        <f>IF(D29&lt;=Variables!$C$4,(E28*(100%+$D$15)),0)</f>
        <v>0</v>
      </c>
      <c r="F29" s="28">
        <f>E29*Variables!$C$2</f>
        <v>0</v>
      </c>
      <c r="G29" s="24">
        <f>VLOOKUP(B29,Revaluation!$B$3:$BC$56, MATCH((Variables!$C$4-($D$20-1)),Revaluation!$B$2:$BC$2,0),FALSE)</f>
        <v>0</v>
      </c>
      <c r="H29" s="25">
        <f>IF(D29&lt;=Variables!$C$4, (SUM($G$20:G29)), 0)</f>
        <v>0</v>
      </c>
      <c r="I29" s="6"/>
    </row>
    <row r="30" spans="1:9" ht="18.75" x14ac:dyDescent="0.3">
      <c r="A30" s="4"/>
      <c r="B30" s="22">
        <v>11</v>
      </c>
      <c r="C30" s="23">
        <v>2026</v>
      </c>
      <c r="D30" s="23">
        <f t="shared" si="0"/>
        <v>71</v>
      </c>
      <c r="E30" s="24">
        <f>IF(D30&lt;=Variables!$C$4,(E29*(100%+$D$15)),0)</f>
        <v>0</v>
      </c>
      <c r="F30" s="24">
        <f>E30*Variables!$C$2</f>
        <v>0</v>
      </c>
      <c r="G30" s="24">
        <f>VLOOKUP(B30,Revaluation!$B$3:$BC$56, MATCH((Variables!$C$4-($D$20-1)),Revaluation!$B$2:$BC$2,0),FALSE)</f>
        <v>0</v>
      </c>
      <c r="H30" s="25">
        <f>IF(D30&lt;=Variables!$C$4, (SUM($G$20:G30)), 0)</f>
        <v>0</v>
      </c>
      <c r="I30" s="6"/>
    </row>
    <row r="31" spans="1:9" ht="18.75" x14ac:dyDescent="0.3">
      <c r="A31" s="4"/>
      <c r="B31" s="26">
        <v>12</v>
      </c>
      <c r="C31" s="27">
        <v>2027</v>
      </c>
      <c r="D31" s="27">
        <f t="shared" si="0"/>
        <v>72</v>
      </c>
      <c r="E31" s="28">
        <f>IF(D31&lt;=Variables!$C$4,(E30*(100%+$D$15)),0)</f>
        <v>0</v>
      </c>
      <c r="F31" s="28">
        <f>E31*Variables!$C$2</f>
        <v>0</v>
      </c>
      <c r="G31" s="24">
        <f>VLOOKUP(B31,Revaluation!$B$3:$BC$56, MATCH((Variables!$C$4-($D$20-1)),Revaluation!$B$2:$BC$2,0),FALSE)</f>
        <v>0</v>
      </c>
      <c r="H31" s="25">
        <f>IF(D31&lt;=Variables!$C$4, (SUM($G$20:G31)), 0)</f>
        <v>0</v>
      </c>
      <c r="I31" s="6"/>
    </row>
    <row r="32" spans="1:9" ht="18.75" x14ac:dyDescent="0.3">
      <c r="A32" s="4"/>
      <c r="B32" s="22">
        <v>13</v>
      </c>
      <c r="C32" s="23">
        <v>2028</v>
      </c>
      <c r="D32" s="23">
        <f t="shared" si="0"/>
        <v>73</v>
      </c>
      <c r="E32" s="24">
        <f>IF(D32&lt;=Variables!$C$4,(E31*(100%+$D$15)),0)</f>
        <v>0</v>
      </c>
      <c r="F32" s="24">
        <f>E32*Variables!$C$2</f>
        <v>0</v>
      </c>
      <c r="G32" s="24">
        <f>VLOOKUP(B32,Revaluation!$B$3:$BC$56, MATCH((Variables!$C$4-($D$20-1)),Revaluation!$B$2:$BC$2,0),FALSE)</f>
        <v>0</v>
      </c>
      <c r="H32" s="25">
        <f>IF(D32&lt;=Variables!$C$4, (SUM($G$20:G32)), 0)</f>
        <v>0</v>
      </c>
      <c r="I32" s="6"/>
    </row>
    <row r="33" spans="1:9" ht="18.75" x14ac:dyDescent="0.3">
      <c r="A33" s="4"/>
      <c r="B33" s="26">
        <v>14</v>
      </c>
      <c r="C33" s="27">
        <v>2029</v>
      </c>
      <c r="D33" s="27">
        <f t="shared" si="0"/>
        <v>74</v>
      </c>
      <c r="E33" s="28">
        <f>IF(D33&lt;=Variables!$C$4,(E32*(100%+$D$15)),0)</f>
        <v>0</v>
      </c>
      <c r="F33" s="28">
        <f>E33*Variables!$C$2</f>
        <v>0</v>
      </c>
      <c r="G33" s="24">
        <f>VLOOKUP(B33,Revaluation!$B$3:$BC$56, MATCH((Variables!$C$4-($D$20-1)),Revaluation!$B$2:$BC$2,0),FALSE)</f>
        <v>0</v>
      </c>
      <c r="H33" s="25">
        <f>IF(D33&lt;=Variables!$C$4, (SUM($G$20:G33)), 0)</f>
        <v>0</v>
      </c>
      <c r="I33" s="6"/>
    </row>
    <row r="34" spans="1:9" ht="18.75" x14ac:dyDescent="0.3">
      <c r="A34" s="4"/>
      <c r="B34" s="22">
        <v>15</v>
      </c>
      <c r="C34" s="23">
        <v>2030</v>
      </c>
      <c r="D34" s="23">
        <f t="shared" si="0"/>
        <v>75</v>
      </c>
      <c r="E34" s="24">
        <f>IF(D34&lt;=Variables!$C$4,(E33*(100%+$D$15)),0)</f>
        <v>0</v>
      </c>
      <c r="F34" s="24">
        <f>E34*Variables!$C$2</f>
        <v>0</v>
      </c>
      <c r="G34" s="24">
        <f>VLOOKUP(B34,Revaluation!$B$3:$BC$56, MATCH((Variables!$C$4-($D$20-1)),Revaluation!$B$2:$BC$2,0),FALSE)</f>
        <v>0</v>
      </c>
      <c r="H34" s="25">
        <f>IF(D34&lt;=Variables!$C$4, (SUM($G$20:G34)), 0)</f>
        <v>0</v>
      </c>
      <c r="I34" s="6"/>
    </row>
    <row r="35" spans="1:9" ht="18.75" x14ac:dyDescent="0.3">
      <c r="A35" s="4"/>
      <c r="B35" s="26">
        <v>16</v>
      </c>
      <c r="C35" s="27">
        <v>2031</v>
      </c>
      <c r="D35" s="27">
        <f t="shared" si="0"/>
        <v>76</v>
      </c>
      <c r="E35" s="28">
        <f>IF(D35&lt;=Variables!$C$4,(E34*(100%+$D$15)),0)</f>
        <v>0</v>
      </c>
      <c r="F35" s="28">
        <f>E35*Variables!$C$2</f>
        <v>0</v>
      </c>
      <c r="G35" s="24">
        <f>VLOOKUP(B35,Revaluation!$B$3:$BC$56, MATCH((Variables!$C$4-($D$20-1)),Revaluation!$B$2:$BC$2,0),FALSE)</f>
        <v>0</v>
      </c>
      <c r="H35" s="25">
        <f>IF(D35&lt;=Variables!$C$4, (SUM($G$20:G35)), 0)</f>
        <v>0</v>
      </c>
      <c r="I35" s="6"/>
    </row>
    <row r="36" spans="1:9" ht="18.75" x14ac:dyDescent="0.3">
      <c r="A36" s="4"/>
      <c r="B36" s="22">
        <v>17</v>
      </c>
      <c r="C36" s="23">
        <v>2032</v>
      </c>
      <c r="D36" s="23">
        <f t="shared" si="0"/>
        <v>77</v>
      </c>
      <c r="E36" s="24">
        <f>IF(D36&lt;=Variables!$C$4,(E35*(100%+$D$15)),0)</f>
        <v>0</v>
      </c>
      <c r="F36" s="24">
        <f>E36*Variables!$C$2</f>
        <v>0</v>
      </c>
      <c r="G36" s="24">
        <f>VLOOKUP(B36,Revaluation!$B$3:$BC$56, MATCH((Variables!$C$4-($D$20-1)),Revaluation!$B$2:$BC$2,0),FALSE)</f>
        <v>0</v>
      </c>
      <c r="H36" s="25">
        <f>IF(D36&lt;=Variables!$C$4, (SUM($G$20:G36)), 0)</f>
        <v>0</v>
      </c>
      <c r="I36" s="6"/>
    </row>
    <row r="37" spans="1:9" ht="18.75" x14ac:dyDescent="0.3">
      <c r="A37" s="4"/>
      <c r="B37" s="26">
        <v>18</v>
      </c>
      <c r="C37" s="27">
        <v>2033</v>
      </c>
      <c r="D37" s="27">
        <f t="shared" si="0"/>
        <v>78</v>
      </c>
      <c r="E37" s="28">
        <f>IF(D37&lt;=Variables!$C$4,(E36*(100%+$D$15)),0)</f>
        <v>0</v>
      </c>
      <c r="F37" s="28">
        <f>E37*Variables!$C$2</f>
        <v>0</v>
      </c>
      <c r="G37" s="24">
        <f>VLOOKUP(B37,Revaluation!$B$3:$BC$56, MATCH((Variables!$C$4-($D$20-1)),Revaluation!$B$2:$BC$2,0),FALSE)</f>
        <v>0</v>
      </c>
      <c r="H37" s="25">
        <f>IF(D37&lt;=Variables!$C$4, (SUM($G$20:G37)), 0)</f>
        <v>0</v>
      </c>
      <c r="I37" s="6"/>
    </row>
    <row r="38" spans="1:9" ht="18.75" x14ac:dyDescent="0.3">
      <c r="A38" s="4"/>
      <c r="B38" s="22">
        <v>19</v>
      </c>
      <c r="C38" s="23">
        <v>2034</v>
      </c>
      <c r="D38" s="23">
        <f t="shared" si="0"/>
        <v>79</v>
      </c>
      <c r="E38" s="24">
        <f>IF(D38&lt;=Variables!$C$4,(E37*(100%+$D$15)),0)</f>
        <v>0</v>
      </c>
      <c r="F38" s="24">
        <f>E38*Variables!$C$2</f>
        <v>0</v>
      </c>
      <c r="G38" s="24">
        <f>VLOOKUP(B38,Revaluation!$B$3:$BC$56, MATCH((Variables!$C$4-($D$20-1)),Revaluation!$B$2:$BC$2,0),FALSE)</f>
        <v>0</v>
      </c>
      <c r="H38" s="25">
        <f>IF(D38&lt;=Variables!$C$4, (SUM($G$20:G38)), 0)</f>
        <v>0</v>
      </c>
      <c r="I38" s="6"/>
    </row>
    <row r="39" spans="1:9" ht="18.75" x14ac:dyDescent="0.3">
      <c r="A39" s="4"/>
      <c r="B39" s="26">
        <v>20</v>
      </c>
      <c r="C39" s="27">
        <v>2035</v>
      </c>
      <c r="D39" s="27">
        <f t="shared" si="0"/>
        <v>80</v>
      </c>
      <c r="E39" s="28">
        <f>IF(D39&lt;=Variables!$C$4,(E38*(100%+$D$15)),0)</f>
        <v>0</v>
      </c>
      <c r="F39" s="28">
        <f>E39*Variables!$C$2</f>
        <v>0</v>
      </c>
      <c r="G39" s="24">
        <f>VLOOKUP(B39,Revaluation!$B$3:$BC$56, MATCH((Variables!$C$4-($D$20-1)),Revaluation!$B$2:$BC$2,0),FALSE)</f>
        <v>0</v>
      </c>
      <c r="H39" s="25">
        <f>IF(D39&lt;=Variables!$C$4, (SUM($G$20:G39)), 0)</f>
        <v>0</v>
      </c>
      <c r="I39" s="6"/>
    </row>
    <row r="40" spans="1:9" ht="18.75" x14ac:dyDescent="0.3">
      <c r="A40" s="4"/>
      <c r="B40" s="22">
        <v>21</v>
      </c>
      <c r="C40" s="23">
        <v>2036</v>
      </c>
      <c r="D40" s="23">
        <f t="shared" si="0"/>
        <v>81</v>
      </c>
      <c r="E40" s="24">
        <f>IF(D40&lt;=Variables!$C$4,(E39*(100%+$D$15)),0)</f>
        <v>0</v>
      </c>
      <c r="F40" s="24">
        <f>E40*Variables!$C$2</f>
        <v>0</v>
      </c>
      <c r="G40" s="24">
        <f>VLOOKUP(B40,Revaluation!$B$3:$BC$56, MATCH((Variables!$C$4-($D$20-1)),Revaluation!$B$2:$BC$2,0),FALSE)</f>
        <v>0</v>
      </c>
      <c r="H40" s="25">
        <f>IF(D40&lt;=Variables!$C$4, (SUM($G$20:G40)), 0)</f>
        <v>0</v>
      </c>
      <c r="I40" s="6"/>
    </row>
    <row r="41" spans="1:9" ht="18.75" x14ac:dyDescent="0.3">
      <c r="A41" s="4"/>
      <c r="B41" s="26">
        <v>22</v>
      </c>
      <c r="C41" s="27">
        <v>2037</v>
      </c>
      <c r="D41" s="27">
        <f>D40+1</f>
        <v>82</v>
      </c>
      <c r="E41" s="28">
        <f>IF(D41&lt;=Variables!$C$4,(E40*(100%+$D$15)),0)</f>
        <v>0</v>
      </c>
      <c r="F41" s="28">
        <f>E41*Variables!$C$2</f>
        <v>0</v>
      </c>
      <c r="G41" s="24">
        <f>VLOOKUP(B41,Revaluation!$B$3:$BC$56, MATCH((Variables!$C$4-($D$20-1)),Revaluation!$B$2:$BC$2,0),FALSE)</f>
        <v>0</v>
      </c>
      <c r="H41" s="25">
        <f>IF(D41&lt;=Variables!$C$4, (SUM($G$20:G41)), 0)</f>
        <v>0</v>
      </c>
      <c r="I41" s="6"/>
    </row>
    <row r="42" spans="1:9" ht="18.75" x14ac:dyDescent="0.3">
      <c r="A42" s="4"/>
      <c r="B42" s="22">
        <v>23</v>
      </c>
      <c r="C42" s="23">
        <v>2038</v>
      </c>
      <c r="D42" s="23">
        <f t="shared" ref="D42:D79" si="1">D41+1</f>
        <v>83</v>
      </c>
      <c r="E42" s="24">
        <f>IF(D42&lt;=Variables!$C$4,(E41*(100%+$D$15)),0)</f>
        <v>0</v>
      </c>
      <c r="F42" s="24">
        <f>E42*Variables!$C$2</f>
        <v>0</v>
      </c>
      <c r="G42" s="24">
        <f>VLOOKUP(B42,Revaluation!$B$3:$BC$56, MATCH((Variables!$C$4-($D$20-1)),Revaluation!$B$2:$BC$2,0),FALSE)</f>
        <v>0</v>
      </c>
      <c r="H42" s="25">
        <f>IF(D42&lt;=Variables!$C$4, (SUM($G$20:G42)), 0)</f>
        <v>0</v>
      </c>
      <c r="I42" s="6"/>
    </row>
    <row r="43" spans="1:9" ht="18.75" x14ac:dyDescent="0.3">
      <c r="A43" s="4"/>
      <c r="B43" s="26">
        <v>24</v>
      </c>
      <c r="C43" s="27">
        <v>2039</v>
      </c>
      <c r="D43" s="27">
        <f t="shared" si="1"/>
        <v>84</v>
      </c>
      <c r="E43" s="28">
        <f>IF(D43&lt;=Variables!$C$4,(E42*(100%+$D$15)),0)</f>
        <v>0</v>
      </c>
      <c r="F43" s="28">
        <f>E43*Variables!$C$2</f>
        <v>0</v>
      </c>
      <c r="G43" s="24">
        <f>VLOOKUP(B43,Revaluation!$B$3:$BC$56, MATCH((Variables!$C$4-($D$20-1)),Revaluation!$B$2:$BC$2,0),FALSE)</f>
        <v>0</v>
      </c>
      <c r="H43" s="25">
        <f>IF(D43&lt;=Variables!$C$4, (SUM($G$20:G43)), 0)</f>
        <v>0</v>
      </c>
      <c r="I43" s="6"/>
    </row>
    <row r="44" spans="1:9" ht="18.75" x14ac:dyDescent="0.3">
      <c r="A44" s="4"/>
      <c r="B44" s="22">
        <v>25</v>
      </c>
      <c r="C44" s="23">
        <v>2040</v>
      </c>
      <c r="D44" s="23">
        <f t="shared" si="1"/>
        <v>85</v>
      </c>
      <c r="E44" s="24">
        <f>IF(D44&lt;=Variables!$C$4,(E43*(100%+$D$15)),0)</f>
        <v>0</v>
      </c>
      <c r="F44" s="24">
        <f>E44*Variables!$C$2</f>
        <v>0</v>
      </c>
      <c r="G44" s="24">
        <f>VLOOKUP(B44,Revaluation!$B$3:$BC$56, MATCH((Variables!$C$4-($D$20-1)),Revaluation!$B$2:$BC$2,0),FALSE)</f>
        <v>0</v>
      </c>
      <c r="H44" s="25">
        <f>IF(D44&lt;=Variables!$C$4, (SUM($G$20:G44)), 0)</f>
        <v>0</v>
      </c>
      <c r="I44" s="6"/>
    </row>
    <row r="45" spans="1:9" ht="18.75" x14ac:dyDescent="0.3">
      <c r="A45" s="4"/>
      <c r="B45" s="26">
        <v>26</v>
      </c>
      <c r="C45" s="27">
        <v>2041</v>
      </c>
      <c r="D45" s="27">
        <f t="shared" si="1"/>
        <v>86</v>
      </c>
      <c r="E45" s="28">
        <f>IF(D45&lt;=Variables!$C$4,(E44*(100%+$D$15)),0)</f>
        <v>0</v>
      </c>
      <c r="F45" s="28">
        <f>E45*Variables!$C$2</f>
        <v>0</v>
      </c>
      <c r="G45" s="24">
        <f>VLOOKUP(B45,Revaluation!$B$3:$BC$56, MATCH((Variables!$C$4-($D$20-1)),Revaluation!$B$2:$BC$2,0),FALSE)</f>
        <v>0</v>
      </c>
      <c r="H45" s="25">
        <f>IF(D45&lt;=Variables!$C$4, (SUM($G$20:G45)), 0)</f>
        <v>0</v>
      </c>
      <c r="I45" s="6"/>
    </row>
    <row r="46" spans="1:9" ht="18.75" x14ac:dyDescent="0.3">
      <c r="A46" s="4"/>
      <c r="B46" s="22">
        <v>27</v>
      </c>
      <c r="C46" s="23">
        <v>2042</v>
      </c>
      <c r="D46" s="23">
        <f t="shared" si="1"/>
        <v>87</v>
      </c>
      <c r="E46" s="24">
        <f>IF(D46&lt;=Variables!$C$4,(E45*(100%+$D$15)),0)</f>
        <v>0</v>
      </c>
      <c r="F46" s="24">
        <f>E46*Variables!$C$2</f>
        <v>0</v>
      </c>
      <c r="G46" s="24">
        <f>VLOOKUP(B46,Revaluation!$B$3:$BC$56, MATCH((Variables!$C$4-($D$20-1)),Revaluation!$B$2:$BC$2,0),FALSE)</f>
        <v>0</v>
      </c>
      <c r="H46" s="25">
        <f>IF(D46&lt;=Variables!$C$4, (SUM($G$20:G46)), 0)</f>
        <v>0</v>
      </c>
      <c r="I46" s="6"/>
    </row>
    <row r="47" spans="1:9" ht="18.75" x14ac:dyDescent="0.3">
      <c r="A47" s="4"/>
      <c r="B47" s="26">
        <v>28</v>
      </c>
      <c r="C47" s="27">
        <v>2043</v>
      </c>
      <c r="D47" s="27">
        <f t="shared" si="1"/>
        <v>88</v>
      </c>
      <c r="E47" s="28">
        <f>IF(D47&lt;=Variables!$C$4,(E46*(100%+$D$15)),0)</f>
        <v>0</v>
      </c>
      <c r="F47" s="28">
        <f>E47*Variables!$C$2</f>
        <v>0</v>
      </c>
      <c r="G47" s="24">
        <f>VLOOKUP(B47,Revaluation!$B$3:$BC$56, MATCH((Variables!$C$4-($D$20-1)),Revaluation!$B$2:$BC$2,0),FALSE)</f>
        <v>0</v>
      </c>
      <c r="H47" s="25">
        <f>IF(D47&lt;=Variables!$C$4, (SUM($G$20:G47)), 0)</f>
        <v>0</v>
      </c>
      <c r="I47" s="6"/>
    </row>
    <row r="48" spans="1:9" ht="18.75" x14ac:dyDescent="0.3">
      <c r="A48" s="4"/>
      <c r="B48" s="22">
        <v>29</v>
      </c>
      <c r="C48" s="23">
        <v>2044</v>
      </c>
      <c r="D48" s="23">
        <f t="shared" si="1"/>
        <v>89</v>
      </c>
      <c r="E48" s="24">
        <f>IF(D48&lt;=Variables!$C$4,(E47*(100%+$D$15)),0)</f>
        <v>0</v>
      </c>
      <c r="F48" s="24">
        <f>E48*Variables!$C$2</f>
        <v>0</v>
      </c>
      <c r="G48" s="24">
        <f>VLOOKUP(B48,Revaluation!$B$3:$BC$56, MATCH((Variables!$C$4-($D$20-1)),Revaluation!$B$2:$BC$2,0),FALSE)</f>
        <v>0</v>
      </c>
      <c r="H48" s="25">
        <f>IF(D48&lt;=Variables!$C$4, (SUM($G$20:G48)), 0)</f>
        <v>0</v>
      </c>
      <c r="I48" s="6"/>
    </row>
    <row r="49" spans="1:9" ht="18.75" x14ac:dyDescent="0.3">
      <c r="A49" s="4"/>
      <c r="B49" s="26">
        <v>30</v>
      </c>
      <c r="C49" s="27">
        <v>2045</v>
      </c>
      <c r="D49" s="27">
        <f t="shared" si="1"/>
        <v>90</v>
      </c>
      <c r="E49" s="28">
        <f>IF(D49&lt;=Variables!$C$4,(E48*(100%+$D$15)),0)</f>
        <v>0</v>
      </c>
      <c r="F49" s="28">
        <f>E49*Variables!$C$2</f>
        <v>0</v>
      </c>
      <c r="G49" s="24">
        <f>VLOOKUP(B49,Revaluation!$B$3:$BC$56, MATCH((Variables!$C$4-($D$20-1)),Revaluation!$B$2:$BC$2,0),FALSE)</f>
        <v>0</v>
      </c>
      <c r="H49" s="25">
        <f>IF(D49&lt;=Variables!$C$4, (SUM($G$20:G49)), 0)</f>
        <v>0</v>
      </c>
      <c r="I49" s="6"/>
    </row>
    <row r="50" spans="1:9" ht="18.75" x14ac:dyDescent="0.3">
      <c r="A50" s="4"/>
      <c r="B50" s="22">
        <v>31</v>
      </c>
      <c r="C50" s="23">
        <v>2046</v>
      </c>
      <c r="D50" s="23">
        <f t="shared" si="1"/>
        <v>91</v>
      </c>
      <c r="E50" s="24">
        <f>IF(D50&lt;=Variables!$C$4,(E49*(100%+$D$15)),0)</f>
        <v>0</v>
      </c>
      <c r="F50" s="24">
        <f>E50*Variables!$C$2</f>
        <v>0</v>
      </c>
      <c r="G50" s="24">
        <f>VLOOKUP(B50,Revaluation!$B$3:$BC$56, MATCH((Variables!$C$4-($D$20-1)),Revaluation!$B$2:$BC$2,0),FALSE)</f>
        <v>0</v>
      </c>
      <c r="H50" s="25">
        <f>IF(D50&lt;=Variables!$C$4, (SUM($G$20:G50)), 0)</f>
        <v>0</v>
      </c>
      <c r="I50" s="6"/>
    </row>
    <row r="51" spans="1:9" ht="18.75" x14ac:dyDescent="0.3">
      <c r="A51" s="4"/>
      <c r="B51" s="26">
        <v>32</v>
      </c>
      <c r="C51" s="27">
        <v>2047</v>
      </c>
      <c r="D51" s="27">
        <f t="shared" si="1"/>
        <v>92</v>
      </c>
      <c r="E51" s="28">
        <f>IF(D50&lt;=Variables!$C$4,(E50*(100%+$D$15)),0)</f>
        <v>0</v>
      </c>
      <c r="F51" s="28">
        <f>E51*Variables!$C$2</f>
        <v>0</v>
      </c>
      <c r="G51" s="24">
        <f>VLOOKUP(B51,Revaluation!$B$3:$BC$56, MATCH((Variables!$C$4-($D$20-1)),Revaluation!$B$2:$BC$2,0),FALSE)</f>
        <v>0</v>
      </c>
      <c r="H51" s="25">
        <f>IF(D51&lt;=Variables!$C$4, (SUM($G$20:G51)), 0)</f>
        <v>0</v>
      </c>
      <c r="I51" s="6"/>
    </row>
    <row r="52" spans="1:9" ht="18.75" x14ac:dyDescent="0.3">
      <c r="A52" s="4"/>
      <c r="B52" s="22">
        <v>33</v>
      </c>
      <c r="C52" s="23">
        <v>2048</v>
      </c>
      <c r="D52" s="23">
        <f t="shared" si="1"/>
        <v>93</v>
      </c>
      <c r="E52" s="24">
        <f>IF(D52&lt;=Variables!$C$4,(E51*(100%+$D$15)),0)</f>
        <v>0</v>
      </c>
      <c r="F52" s="24">
        <f>E52*Variables!$C$2</f>
        <v>0</v>
      </c>
      <c r="G52" s="24">
        <f>VLOOKUP(B52,Revaluation!$B$3:$BC$56, MATCH((Variables!$C$4-($D$20-1)),Revaluation!$B$2:$BC$2,0),FALSE)</f>
        <v>0</v>
      </c>
      <c r="H52" s="25">
        <f>IF(D52&lt;=Variables!$C$4, (SUM($G$20:G52)), 0)</f>
        <v>0</v>
      </c>
      <c r="I52" s="6"/>
    </row>
    <row r="53" spans="1:9" ht="18.75" x14ac:dyDescent="0.3">
      <c r="A53" s="4"/>
      <c r="B53" s="26">
        <v>34</v>
      </c>
      <c r="C53" s="27">
        <v>2049</v>
      </c>
      <c r="D53" s="27">
        <f t="shared" si="1"/>
        <v>94</v>
      </c>
      <c r="E53" s="28">
        <f>IF(D53&lt;=Variables!$C$4,(E52*(100%+$D$15)),0)</f>
        <v>0</v>
      </c>
      <c r="F53" s="28">
        <f>E53*Variables!$C$2</f>
        <v>0</v>
      </c>
      <c r="G53" s="24">
        <f>VLOOKUP(B53,Revaluation!$B$3:$BC$56, MATCH((Variables!$C$4-($D$20-1)),Revaluation!$B$2:$BC$2,0),FALSE)</f>
        <v>0</v>
      </c>
      <c r="H53" s="25">
        <f>IF(D53&lt;=Variables!$C$4, (SUM($G$20:G53)), 0)</f>
        <v>0</v>
      </c>
      <c r="I53" s="6"/>
    </row>
    <row r="54" spans="1:9" ht="18.75" x14ac:dyDescent="0.3">
      <c r="A54" s="4"/>
      <c r="B54" s="22">
        <v>35</v>
      </c>
      <c r="C54" s="23">
        <v>2050</v>
      </c>
      <c r="D54" s="23">
        <f t="shared" si="1"/>
        <v>95</v>
      </c>
      <c r="E54" s="24">
        <f>IF(D54&lt;=Variables!$C$4,(E53*(100%+$D$15)),0)</f>
        <v>0</v>
      </c>
      <c r="F54" s="24">
        <f>E54*Variables!$C$2</f>
        <v>0</v>
      </c>
      <c r="G54" s="24">
        <f>VLOOKUP(B54,Revaluation!$B$3:$BC$56, MATCH((Variables!$C$4-($D$20-1)),Revaluation!$B$2:$BC$2,0),FALSE)</f>
        <v>0</v>
      </c>
      <c r="H54" s="25">
        <f>IF(D54&lt;=Variables!$C$4, (SUM($G$20:G54)), 0)</f>
        <v>0</v>
      </c>
      <c r="I54" s="6"/>
    </row>
    <row r="55" spans="1:9" ht="18.75" x14ac:dyDescent="0.3">
      <c r="A55" s="4"/>
      <c r="B55" s="26">
        <v>36</v>
      </c>
      <c r="C55" s="27">
        <v>2051</v>
      </c>
      <c r="D55" s="27">
        <f t="shared" si="1"/>
        <v>96</v>
      </c>
      <c r="E55" s="28">
        <f>IF(D55&lt;=Variables!$C$4,(E54*(100%+$D$15)),0)</f>
        <v>0</v>
      </c>
      <c r="F55" s="28">
        <f>E55*Variables!$C$2</f>
        <v>0</v>
      </c>
      <c r="G55" s="24">
        <f>VLOOKUP(B55,Revaluation!$B$3:$BC$56, MATCH((Variables!$C$4-($D$20-1)),Revaluation!$B$2:$BC$2,0),FALSE)</f>
        <v>0</v>
      </c>
      <c r="H55" s="25">
        <f>IF(D55&lt;=Variables!$C$4, (SUM($G$20:G55)), 0)</f>
        <v>0</v>
      </c>
      <c r="I55" s="6"/>
    </row>
    <row r="56" spans="1:9" ht="18.75" x14ac:dyDescent="0.3">
      <c r="A56" s="4"/>
      <c r="B56" s="22">
        <v>37</v>
      </c>
      <c r="C56" s="23">
        <v>2052</v>
      </c>
      <c r="D56" s="23">
        <f t="shared" si="1"/>
        <v>97</v>
      </c>
      <c r="E56" s="24">
        <f>IF(D56&lt;=Variables!$C$4,(E55*(100%+$D$15)),0)</f>
        <v>0</v>
      </c>
      <c r="F56" s="24">
        <f>E56*Variables!$C$2</f>
        <v>0</v>
      </c>
      <c r="G56" s="24">
        <f>VLOOKUP(B56,Revaluation!$B$3:$BC$56, MATCH((Variables!$C$4-($D$20-1)),Revaluation!$B$2:$BC$2,0),FALSE)</f>
        <v>0</v>
      </c>
      <c r="H56" s="25">
        <f>IF(D56&lt;=Variables!$C$4, (SUM($G$20:G56)), 0)</f>
        <v>0</v>
      </c>
      <c r="I56" s="6"/>
    </row>
    <row r="57" spans="1:9" ht="18.75" x14ac:dyDescent="0.3">
      <c r="A57" s="4"/>
      <c r="B57" s="26">
        <v>38</v>
      </c>
      <c r="C57" s="27">
        <v>2053</v>
      </c>
      <c r="D57" s="27">
        <f t="shared" si="1"/>
        <v>98</v>
      </c>
      <c r="E57" s="28">
        <f>IF(D57&lt;=Variables!$C$4,(E56*(100%+$D$15)),0)</f>
        <v>0</v>
      </c>
      <c r="F57" s="28">
        <f>E57*Variables!$C$2</f>
        <v>0</v>
      </c>
      <c r="G57" s="24">
        <f>VLOOKUP(B57,Revaluation!$B$3:$BC$56, MATCH((Variables!$C$4-($D$20-1)),Revaluation!$B$2:$BC$2,0),FALSE)</f>
        <v>0</v>
      </c>
      <c r="H57" s="25">
        <f>IF(D57&lt;=Variables!$C$4, (SUM($G$20:G57)), 0)</f>
        <v>0</v>
      </c>
      <c r="I57" s="6"/>
    </row>
    <row r="58" spans="1:9" ht="18.75" x14ac:dyDescent="0.3">
      <c r="A58" s="4"/>
      <c r="B58" s="22">
        <v>39</v>
      </c>
      <c r="C58" s="23">
        <v>2054</v>
      </c>
      <c r="D58" s="23">
        <f t="shared" si="1"/>
        <v>99</v>
      </c>
      <c r="E58" s="24">
        <f>IF(D58&lt;=Variables!$C$4,(E57*(100%+$D$15)),0)</f>
        <v>0</v>
      </c>
      <c r="F58" s="24">
        <f>E58*Variables!$C$2</f>
        <v>0</v>
      </c>
      <c r="G58" s="24">
        <f>VLOOKUP(B58,Revaluation!$B$3:$BC$56, MATCH((Variables!$C$4-($D$20-1)),Revaluation!$B$2:$BC$2,0),FALSE)</f>
        <v>0</v>
      </c>
      <c r="H58" s="25">
        <f>IF(D58&lt;=Variables!$C$4, (SUM($G$20:G58)), 0)</f>
        <v>0</v>
      </c>
      <c r="I58" s="6"/>
    </row>
    <row r="59" spans="1:9" ht="18.75" x14ac:dyDescent="0.3">
      <c r="A59" s="4"/>
      <c r="B59" s="26">
        <v>40</v>
      </c>
      <c r="C59" s="27">
        <v>2055</v>
      </c>
      <c r="D59" s="27">
        <f t="shared" si="1"/>
        <v>100</v>
      </c>
      <c r="E59" s="28">
        <f>IF(D59&lt;=Variables!$C$4,(E58*(100%+$D$15)),0)</f>
        <v>0</v>
      </c>
      <c r="F59" s="28">
        <f>E59*Variables!$C$2</f>
        <v>0</v>
      </c>
      <c r="G59" s="24">
        <f>VLOOKUP(B59,Revaluation!$B$3:$BC$56, MATCH((Variables!$C$4-($D$20-1)),Revaluation!$B$2:$BC$2,0),FALSE)</f>
        <v>0</v>
      </c>
      <c r="H59" s="25">
        <f>IF(D59&lt;=Variables!$C$4, (SUM($G$20:G59)), 0)</f>
        <v>0</v>
      </c>
      <c r="I59" s="6"/>
    </row>
    <row r="60" spans="1:9" ht="18.75" x14ac:dyDescent="0.3">
      <c r="A60" s="4"/>
      <c r="B60" s="22">
        <v>41</v>
      </c>
      <c r="C60" s="23">
        <v>2056</v>
      </c>
      <c r="D60" s="23">
        <f t="shared" si="1"/>
        <v>101</v>
      </c>
      <c r="E60" s="24">
        <f>IF(D60&lt;=Variables!$C$4,(E59*(100%+$D$15)),0)</f>
        <v>0</v>
      </c>
      <c r="F60" s="24">
        <f>E60*Variables!$C$2</f>
        <v>0</v>
      </c>
      <c r="G60" s="24">
        <f>VLOOKUP(B60,Revaluation!$B$3:$BC$56, MATCH((Variables!$C$4-($D$20-1)),Revaluation!$B$2:$BC$2,0),FALSE)</f>
        <v>0</v>
      </c>
      <c r="H60" s="25">
        <f>IF(D60&lt;=Variables!$C$4, (SUM($G$20:G60)), 0)</f>
        <v>0</v>
      </c>
      <c r="I60" s="6"/>
    </row>
    <row r="61" spans="1:9" ht="18.75" x14ac:dyDescent="0.3">
      <c r="A61" s="4"/>
      <c r="B61" s="26">
        <v>42</v>
      </c>
      <c r="C61" s="27">
        <v>2057</v>
      </c>
      <c r="D61" s="27">
        <f t="shared" si="1"/>
        <v>102</v>
      </c>
      <c r="E61" s="28">
        <f>IF(D61&lt;=Variables!$C$4,(E60*(100%+$D$15)),0)</f>
        <v>0</v>
      </c>
      <c r="F61" s="28">
        <f>E61*Variables!$C$2</f>
        <v>0</v>
      </c>
      <c r="G61" s="24">
        <f>VLOOKUP(B61,Revaluation!$B$3:$BC$56, MATCH((Variables!$C$4-($D$20-1)),Revaluation!$B$2:$BC$2,0),FALSE)</f>
        <v>0</v>
      </c>
      <c r="H61" s="25">
        <f>IF(D61&lt;=Variables!$C$4, (SUM($G$20:G61)), 0)</f>
        <v>0</v>
      </c>
      <c r="I61" s="6"/>
    </row>
    <row r="62" spans="1:9" ht="18.75" x14ac:dyDescent="0.3">
      <c r="A62" s="4"/>
      <c r="B62" s="22">
        <v>43</v>
      </c>
      <c r="C62" s="23">
        <v>2058</v>
      </c>
      <c r="D62" s="23">
        <f t="shared" si="1"/>
        <v>103</v>
      </c>
      <c r="E62" s="28">
        <f>IF(D62&lt;=Variables!$C$4,(E61*(100%+$D$15)),0)</f>
        <v>0</v>
      </c>
      <c r="F62" s="24">
        <f>E62*Variables!$C$2</f>
        <v>0</v>
      </c>
      <c r="G62" s="24">
        <f>VLOOKUP(B62,Revaluation!$B$3:$BC$56, MATCH((Variables!$C$4-($D$20-1)),Revaluation!$B$2:$BC$2,0),FALSE)</f>
        <v>0</v>
      </c>
      <c r="H62" s="25">
        <f>IF(D62&lt;=Variables!$C$4, (SUM($G$20:G62)), 0)</f>
        <v>0</v>
      </c>
      <c r="I62" s="6"/>
    </row>
    <row r="63" spans="1:9" ht="18.75" x14ac:dyDescent="0.3">
      <c r="A63" s="4"/>
      <c r="B63" s="26">
        <v>44</v>
      </c>
      <c r="C63" s="27">
        <v>2059</v>
      </c>
      <c r="D63" s="27">
        <f t="shared" si="1"/>
        <v>104</v>
      </c>
      <c r="E63" s="28">
        <f>IF(D63&lt;=Variables!$C$4,(E62*(100%+$D$15)),0)</f>
        <v>0</v>
      </c>
      <c r="F63" s="28">
        <f>E63*Variables!$C$2</f>
        <v>0</v>
      </c>
      <c r="G63" s="24">
        <f>VLOOKUP(B63,Revaluation!$B$3:$BC$56, MATCH((Variables!$C$4-($D$20-1)),Revaluation!$B$2:$BC$2,0),FALSE)</f>
        <v>0</v>
      </c>
      <c r="H63" s="25">
        <f>IF(D63&lt;=Variables!$C$4, (SUM($G$20:G63)), 0)</f>
        <v>0</v>
      </c>
      <c r="I63" s="6"/>
    </row>
    <row r="64" spans="1:9" ht="19.5" thickBot="1" x14ac:dyDescent="0.35">
      <c r="A64" s="4"/>
      <c r="B64" s="29">
        <v>45</v>
      </c>
      <c r="C64" s="23">
        <v>2060</v>
      </c>
      <c r="D64" s="30">
        <f t="shared" si="1"/>
        <v>105</v>
      </c>
      <c r="E64" s="24">
        <f>IF(D64&lt;=Variables!$C$4,(E63*(100%+$D$15)),0)</f>
        <v>0</v>
      </c>
      <c r="F64" s="24">
        <f>E64*Variables!$C$2</f>
        <v>0</v>
      </c>
      <c r="G64" s="24">
        <f>VLOOKUP(B64,Revaluation!$B$3:$BC$56, MATCH((Variables!$C$4-($D$20-1)),Revaluation!$B$2:$BC$2,0),FALSE)</f>
        <v>0</v>
      </c>
      <c r="H64" s="25">
        <f>IF(D64&lt;=Variables!$C$4, (SUM($G$20:G64)), 0)</f>
        <v>0</v>
      </c>
      <c r="I64" s="6"/>
    </row>
    <row r="65" spans="1:9" ht="19.5" thickBot="1" x14ac:dyDescent="0.35">
      <c r="A65" s="4"/>
      <c r="B65" s="22">
        <v>46</v>
      </c>
      <c r="C65" s="23">
        <v>2061</v>
      </c>
      <c r="D65" s="30">
        <f t="shared" si="1"/>
        <v>106</v>
      </c>
      <c r="E65" s="28">
        <f>IF(D65&lt;=Variables!$C$4,(E64*(100%+$D$15)),0)</f>
        <v>0</v>
      </c>
      <c r="F65" s="28">
        <f>E65*Variables!$C$2</f>
        <v>0</v>
      </c>
      <c r="G65" s="24">
        <f>VLOOKUP(B65,Revaluation!$B$3:$BC$56, MATCH((Variables!$C$4-($D$20-1)),Revaluation!$B$2:$BC$2,0),FALSE)</f>
        <v>0</v>
      </c>
      <c r="H65" s="25">
        <f>IF(D65&lt;=Variables!$C$4, (SUM($G$20:G65)), 0)</f>
        <v>0</v>
      </c>
      <c r="I65" s="6"/>
    </row>
    <row r="66" spans="1:9" ht="19.5" thickBot="1" x14ac:dyDescent="0.35">
      <c r="A66" s="4"/>
      <c r="B66" s="26">
        <v>47</v>
      </c>
      <c r="C66" s="27">
        <v>2062</v>
      </c>
      <c r="D66" s="30">
        <f t="shared" si="1"/>
        <v>107</v>
      </c>
      <c r="E66" s="24">
        <f>IF(D66&lt;=Variables!$C$4,(E65*(100%+$D$15)),0)</f>
        <v>0</v>
      </c>
      <c r="F66" s="24">
        <f>E66*Variables!$C$2</f>
        <v>0</v>
      </c>
      <c r="G66" s="24">
        <f>VLOOKUP(B66,Revaluation!$B$3:$BC$56, MATCH((Variables!$C$4-($D$20-1)),Revaluation!$B$2:$BC$2,0),FALSE)</f>
        <v>0</v>
      </c>
      <c r="H66" s="25">
        <f>IF(D66&lt;=Variables!$C$4, (SUM($G$20:G66)), 0)</f>
        <v>0</v>
      </c>
      <c r="I66" s="6"/>
    </row>
    <row r="67" spans="1:9" ht="19.5" thickBot="1" x14ac:dyDescent="0.35">
      <c r="A67" s="4"/>
      <c r="B67" s="22">
        <v>48</v>
      </c>
      <c r="C67" s="23">
        <v>2063</v>
      </c>
      <c r="D67" s="30">
        <f t="shared" si="1"/>
        <v>108</v>
      </c>
      <c r="E67" s="28">
        <f>IF(D67&lt;=Variables!$C$4,(E66*(100%+$D$15)),0)</f>
        <v>0</v>
      </c>
      <c r="F67" s="28">
        <f>E67*Variables!$C$2</f>
        <v>0</v>
      </c>
      <c r="G67" s="24">
        <f>VLOOKUP(B67,Revaluation!$B$3:$BC$56, MATCH((Variables!$C$4-($D$20-1)),Revaluation!$B$2:$BC$2,0),FALSE)</f>
        <v>0</v>
      </c>
      <c r="H67" s="25">
        <f>IF(D67&lt;=Variables!$C$4, (SUM($G$20:G67)), 0)</f>
        <v>0</v>
      </c>
      <c r="I67" s="6"/>
    </row>
    <row r="68" spans="1:9" ht="19.5" thickBot="1" x14ac:dyDescent="0.35">
      <c r="A68" s="9"/>
      <c r="B68" s="26">
        <v>49</v>
      </c>
      <c r="C68" s="27">
        <v>2064</v>
      </c>
      <c r="D68" s="30">
        <f t="shared" si="1"/>
        <v>109</v>
      </c>
      <c r="E68" s="24">
        <f>IF(D68&lt;=Variables!$C$4,(E67*(100%+$D$15)),0)</f>
        <v>0</v>
      </c>
      <c r="F68" s="24">
        <f>E68*Variables!$C$2</f>
        <v>0</v>
      </c>
      <c r="G68" s="24">
        <f>VLOOKUP(B68,Revaluation!$B$3:$BC$56, MATCH((Variables!$C$4-($D$20-1)),Revaluation!$B$2:$BC$2,0),FALSE)</f>
        <v>0</v>
      </c>
      <c r="H68" s="25">
        <f>IF(D68&lt;=Variables!$C$4, (SUM($G$20:G68)), 0)</f>
        <v>0</v>
      </c>
      <c r="I68" s="10"/>
    </row>
    <row r="69" spans="1:9" ht="19.5" thickBot="1" x14ac:dyDescent="0.35">
      <c r="B69" s="22">
        <v>50</v>
      </c>
      <c r="C69" s="23">
        <v>2065</v>
      </c>
      <c r="D69" s="30">
        <f t="shared" si="1"/>
        <v>110</v>
      </c>
      <c r="E69" s="24">
        <f>IF(D69&lt;=Variables!$C$4,(E68*(100%+$D$15)),0)</f>
        <v>0</v>
      </c>
      <c r="F69" s="24">
        <f>E69*Variables!$C$2</f>
        <v>0</v>
      </c>
      <c r="G69" s="24">
        <f>VLOOKUP(B69,Revaluation!$B$3:$BC$56, MATCH((Variables!$C$4-($D$20-1)),Revaluation!$B$2:$BC$2,0),FALSE)</f>
        <v>0</v>
      </c>
      <c r="H69" s="25">
        <f>IF(D69&lt;=Variables!$C$4, (SUM($G$20:G69)), 0)</f>
        <v>0</v>
      </c>
    </row>
    <row r="70" spans="1:9" ht="19.5" thickBot="1" x14ac:dyDescent="0.35">
      <c r="B70" s="26">
        <v>51</v>
      </c>
      <c r="C70" s="27">
        <v>2066</v>
      </c>
      <c r="D70" s="30">
        <f t="shared" si="1"/>
        <v>111</v>
      </c>
      <c r="E70" s="24">
        <f>IF(D70&lt;=Variables!$C$4,(E69*(100%+$D$15)),0)</f>
        <v>0</v>
      </c>
      <c r="F70" s="24">
        <f>E70*Variables!$C$2</f>
        <v>0</v>
      </c>
      <c r="G70" s="24">
        <f>VLOOKUP(B70,Revaluation!$B$3:$BC$56, MATCH((Variables!$C$4-($D$20-1)),Revaluation!$B$2:$BC$2,0),FALSE)</f>
        <v>0</v>
      </c>
      <c r="H70" s="25">
        <f>IF(D70&lt;=Variables!$C$4, (SUM($G$20:G70)), 0)</f>
        <v>0</v>
      </c>
    </row>
    <row r="71" spans="1:9" ht="19.5" thickBot="1" x14ac:dyDescent="0.35">
      <c r="B71" s="22">
        <v>52</v>
      </c>
      <c r="C71" s="23">
        <v>2067</v>
      </c>
      <c r="D71" s="30">
        <f t="shared" si="1"/>
        <v>112</v>
      </c>
      <c r="E71" s="24">
        <f>IF(D71&lt;=Variables!$C$4,(E70*(100%+$D$15)),0)</f>
        <v>0</v>
      </c>
      <c r="F71" s="24">
        <f>E71*Variables!$C$2</f>
        <v>0</v>
      </c>
      <c r="G71" s="24">
        <f>VLOOKUP(B71,Revaluation!$B$3:$BC$56, MATCH((Variables!$C$4-($D$20-1)),Revaluation!$B$2:$BC$2,0),FALSE)</f>
        <v>0</v>
      </c>
      <c r="H71" s="25">
        <f>IF(D71&lt;=Variables!$C$4, (SUM($G$20:G71)), 0)</f>
        <v>0</v>
      </c>
    </row>
    <row r="72" spans="1:9" ht="19.5" thickBot="1" x14ac:dyDescent="0.35">
      <c r="B72" s="26">
        <v>53</v>
      </c>
      <c r="C72" s="27">
        <v>2068</v>
      </c>
      <c r="D72" s="30">
        <f t="shared" si="1"/>
        <v>113</v>
      </c>
      <c r="E72" s="24">
        <f>IF(D72&lt;=Variables!$C$4,(E71*(100%+$D$15)),0)</f>
        <v>0</v>
      </c>
      <c r="F72" s="24">
        <f>E72*Variables!$C$2</f>
        <v>0</v>
      </c>
      <c r="G72" s="24">
        <f>VLOOKUP(B72,Revaluation!$B$3:$BC$56, MATCH((Variables!$C$4-($D$20-1)),Revaluation!$B$2:$BC$2,0),FALSE)</f>
        <v>0</v>
      </c>
      <c r="H72" s="25">
        <f>IF(D72&lt;=Variables!$C$4, (SUM($G$20:G72)), 0)</f>
        <v>0</v>
      </c>
    </row>
    <row r="73" spans="1:9" ht="19.5" thickBot="1" x14ac:dyDescent="0.35">
      <c r="B73" s="22">
        <v>54</v>
      </c>
      <c r="C73" s="23">
        <v>2069</v>
      </c>
      <c r="D73" s="30">
        <f t="shared" si="1"/>
        <v>114</v>
      </c>
      <c r="E73" s="24">
        <f>IF(D73&lt;=Variables!$C$4,(E72*(100%+$D$15)),0)</f>
        <v>0</v>
      </c>
      <c r="F73" s="24">
        <f>E73*Variables!$C$2</f>
        <v>0</v>
      </c>
      <c r="G73" s="24" t="e">
        <f>VLOOKUP(B73,Revaluation!$B$3:$BC$56, MATCH((Variables!$C$4-($D$20-1)),Revaluation!$B$2:$BC$2,0),FALSE)</f>
        <v>#N/A</v>
      </c>
      <c r="H73" s="25">
        <f>IF(D73&lt;=Variables!$C$4, (SUM($G$20:G73)), 0)</f>
        <v>0</v>
      </c>
    </row>
    <row r="74" spans="1:9" ht="19.5" thickBot="1" x14ac:dyDescent="0.35">
      <c r="B74" s="26">
        <v>55</v>
      </c>
      <c r="C74" s="27">
        <v>2070</v>
      </c>
      <c r="D74" s="30">
        <f t="shared" si="1"/>
        <v>115</v>
      </c>
      <c r="E74" s="24">
        <f>IF(D74&lt;=Variables!$C$4,(E73*(100%+$D$15)),0)</f>
        <v>0</v>
      </c>
      <c r="F74" s="24">
        <f>E74*Variables!$C$2</f>
        <v>0</v>
      </c>
      <c r="G74" s="24" t="e">
        <f>VLOOKUP(B74,Revaluation!$B$3:$BC$56, MATCH((Variables!$C$4-($D$20-1)),Revaluation!$B$2:$BC$2,0),FALSE)</f>
        <v>#N/A</v>
      </c>
      <c r="H74" s="25">
        <f>IF(D74&lt;=Variables!$C$4, (SUM($G$20:G74)), 0)</f>
        <v>0</v>
      </c>
    </row>
    <row r="75" spans="1:9" ht="19.5" thickBot="1" x14ac:dyDescent="0.35">
      <c r="B75" s="22">
        <v>56</v>
      </c>
      <c r="C75" s="23">
        <v>2071</v>
      </c>
      <c r="D75" s="30">
        <f t="shared" si="1"/>
        <v>116</v>
      </c>
      <c r="E75" s="24">
        <f>IF(D75&lt;=Variables!$C$4,(E74*(100%+$D$15)),0)</f>
        <v>0</v>
      </c>
      <c r="F75" s="24">
        <f>E75*Variables!$C$2</f>
        <v>0</v>
      </c>
      <c r="G75" s="24" t="e">
        <f>VLOOKUP(B75,Revaluation!$B$3:$BC$56, MATCH((Variables!$C$4-($D$20-1)),Revaluation!$B$2:$BC$2,0),FALSE)</f>
        <v>#N/A</v>
      </c>
      <c r="H75" s="25">
        <f>IF(D75&lt;=Variables!$C$4, (SUM($G$20:G75)), 0)</f>
        <v>0</v>
      </c>
    </row>
    <row r="76" spans="1:9" ht="19.5" thickBot="1" x14ac:dyDescent="0.35">
      <c r="B76" s="26">
        <v>57</v>
      </c>
      <c r="C76" s="27">
        <v>2072</v>
      </c>
      <c r="D76" s="30">
        <f t="shared" si="1"/>
        <v>117</v>
      </c>
      <c r="E76" s="24">
        <f>IF(D76&lt;=Variables!$C$4,(E75*(100%+$D$15)),0)</f>
        <v>0</v>
      </c>
      <c r="F76" s="24">
        <f>E76*Variables!$C$2</f>
        <v>0</v>
      </c>
      <c r="G76" s="24" t="e">
        <f>VLOOKUP(B76,Revaluation!$B$3:$BC$56, MATCH((Variables!$C$4-($D$20-1)),Revaluation!$B$2:$BC$2,0),FALSE)</f>
        <v>#N/A</v>
      </c>
      <c r="H76" s="25">
        <f>IF(D76&lt;=Variables!$C$4, (SUM($G$20:G76)), 0)</f>
        <v>0</v>
      </c>
    </row>
    <row r="77" spans="1:9" ht="19.5" thickBot="1" x14ac:dyDescent="0.35">
      <c r="B77" s="22">
        <v>58</v>
      </c>
      <c r="C77" s="23">
        <v>2073</v>
      </c>
      <c r="D77" s="30">
        <f t="shared" si="1"/>
        <v>118</v>
      </c>
      <c r="E77" s="24">
        <f>IF(D77&lt;=Variables!$C$4,(E76*(100%+$D$15)),0)</f>
        <v>0</v>
      </c>
      <c r="F77" s="24">
        <f>E77*Variables!$C$2</f>
        <v>0</v>
      </c>
      <c r="G77" s="24" t="e">
        <f>VLOOKUP(B77,Revaluation!$B$3:$BC$56, MATCH((Variables!$C$4-($D$20-1)),Revaluation!$B$2:$BC$2,0),FALSE)</f>
        <v>#N/A</v>
      </c>
      <c r="H77" s="25">
        <f>IF(D77&lt;=Variables!$C$4, (SUM($G$20:G77)), 0)</f>
        <v>0</v>
      </c>
    </row>
    <row r="78" spans="1:9" ht="19.5" thickBot="1" x14ac:dyDescent="0.35">
      <c r="B78" s="26">
        <v>59</v>
      </c>
      <c r="C78" s="27">
        <v>2074</v>
      </c>
      <c r="D78" s="30">
        <f t="shared" si="1"/>
        <v>119</v>
      </c>
      <c r="E78" s="24">
        <f>IF(D78&lt;=Variables!$C$4,(E77*(100%+$D$15)),0)</f>
        <v>0</v>
      </c>
      <c r="F78" s="24">
        <f>E78*Variables!$C$2</f>
        <v>0</v>
      </c>
      <c r="G78" s="24" t="e">
        <f>VLOOKUP(B78,Revaluation!$B$3:$BC$56, MATCH((Variables!$C$4-($D$20-1)),Revaluation!$B$2:$BC$2,0),FALSE)</f>
        <v>#N/A</v>
      </c>
      <c r="H78" s="25">
        <f>IF(D78&lt;=Variables!$C$4, (SUM($G$20:G78)), 0)</f>
        <v>0</v>
      </c>
    </row>
    <row r="79" spans="1:9" ht="19.5" thickBot="1" x14ac:dyDescent="0.35">
      <c r="B79" s="22">
        <v>60</v>
      </c>
      <c r="C79" s="23">
        <v>2075</v>
      </c>
      <c r="D79" s="30">
        <f t="shared" si="1"/>
        <v>120</v>
      </c>
      <c r="E79" s="24">
        <f>IF(D79&lt;=Variables!$C$4,(E78*(100%+$D$15)),0)</f>
        <v>0</v>
      </c>
      <c r="F79" s="24">
        <f>E79*Variables!$C$2</f>
        <v>0</v>
      </c>
      <c r="G79" s="24" t="e">
        <f>VLOOKUP(B79,Revaluation!$B$3:$BC$56, MATCH((Variables!$C$4-($D$20-1)),Revaluation!$B$2:$BC$2,0),FALSE)</f>
        <v>#N/A</v>
      </c>
      <c r="H79" s="25">
        <f>IF(D79&lt;=Variables!$C$4, (SUM($G$20:G79)), 0)</f>
        <v>0</v>
      </c>
    </row>
  </sheetData>
  <mergeCells count="6">
    <mergeCell ref="B17:C17"/>
    <mergeCell ref="B1:H1"/>
    <mergeCell ref="B14:C14"/>
    <mergeCell ref="B15:C15"/>
    <mergeCell ref="B16:C16"/>
    <mergeCell ref="B3:H5"/>
  </mergeCells>
  <phoneticPr fontId="7" type="noConversion"/>
  <printOptions horizontalCentered="1" verticalCentered="1"/>
  <pageMargins left="0.75000000000000011" right="0.75000000000000011" top="1" bottom="1" header="0.5" footer="0.5"/>
  <pageSetup paperSize="9" scale="53" orientation="landscape" horizontalDpi="4294967292" verticalDpi="4294967292" r:id="rId1"/>
  <extLst>
    <ext xmlns:mx="http://schemas.microsoft.com/office/mac/excel/2008/main" uri="{64002731-A6B0-56B0-2670-7721B7C09600}">
      <mx:PLV Mode="0" OnePage="0" WScale="10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6B9C1-0FA8-4A7D-BE4B-7151833C9342}">
  <dimension ref="A1:BB241"/>
  <sheetViews>
    <sheetView topLeftCell="J1" workbookViewId="0">
      <selection activeCell="Y13" sqref="Y13"/>
    </sheetView>
  </sheetViews>
  <sheetFormatPr defaultRowHeight="15" x14ac:dyDescent="0.25"/>
  <cols>
    <col min="4" max="4" width="11.140625" bestFit="1" customWidth="1"/>
    <col min="5" max="5" width="16.5703125" customWidth="1"/>
    <col min="6" max="6" width="10.140625" bestFit="1" customWidth="1"/>
    <col min="7" max="7" width="9.5703125" customWidth="1"/>
    <col min="8" max="8" width="10.140625" bestFit="1" customWidth="1"/>
    <col min="12" max="12" width="10.85546875" customWidth="1"/>
    <col min="13" max="13" width="11.140625" bestFit="1" customWidth="1"/>
    <col min="23" max="23" width="13.85546875" customWidth="1"/>
    <col min="25" max="25" width="9.5703125" customWidth="1"/>
    <col min="27" max="27" width="13.140625" customWidth="1"/>
    <col min="29" max="29" width="12.7109375" customWidth="1"/>
  </cols>
  <sheetData>
    <row r="1" spans="1:54" x14ac:dyDescent="0.25">
      <c r="A1" s="200" t="s">
        <v>169</v>
      </c>
      <c r="B1" s="200"/>
      <c r="C1" s="200"/>
      <c r="D1" s="200"/>
      <c r="E1" s="200"/>
      <c r="F1" s="200"/>
      <c r="G1" s="200"/>
      <c r="H1" s="200"/>
      <c r="I1" s="200"/>
      <c r="J1" s="200"/>
      <c r="K1" s="200"/>
      <c r="L1" s="200"/>
      <c r="M1" s="200"/>
      <c r="N1" s="200"/>
      <c r="O1" s="200"/>
      <c r="P1" s="200"/>
      <c r="Q1" s="200"/>
      <c r="R1" s="200"/>
      <c r="S1" s="200"/>
      <c r="T1" s="200"/>
      <c r="AH1">
        <v>55</v>
      </c>
      <c r="AI1">
        <v>0.57999999999999996</v>
      </c>
      <c r="AK1">
        <v>0.57999999999999996</v>
      </c>
    </row>
    <row r="2" spans="1:54" x14ac:dyDescent="0.25">
      <c r="A2" s="200" t="s">
        <v>82</v>
      </c>
      <c r="B2" s="200"/>
      <c r="C2" s="200"/>
      <c r="D2" s="200"/>
      <c r="E2" s="200"/>
      <c r="F2" s="200"/>
      <c r="G2" s="200"/>
      <c r="H2" s="200"/>
      <c r="I2" s="200"/>
      <c r="J2" s="200"/>
      <c r="K2" s="200"/>
      <c r="L2" s="200"/>
      <c r="M2" s="200"/>
      <c r="N2" s="200"/>
      <c r="O2" s="200"/>
      <c r="P2" s="200"/>
      <c r="Q2" s="200"/>
      <c r="R2" s="200"/>
      <c r="S2" s="200"/>
      <c r="T2" s="200"/>
      <c r="AH2">
        <v>55.083333333333336</v>
      </c>
      <c r="AI2">
        <v>0.58199999999999996</v>
      </c>
      <c r="AK2">
        <v>0.58199999999999996</v>
      </c>
    </row>
    <row r="3" spans="1:54" x14ac:dyDescent="0.25">
      <c r="A3" s="200" t="s">
        <v>144</v>
      </c>
      <c r="B3" s="200"/>
      <c r="C3" s="200"/>
      <c r="D3" s="200"/>
      <c r="E3" s="200"/>
      <c r="F3" s="200"/>
      <c r="G3" s="200"/>
      <c r="H3" s="200"/>
      <c r="I3" s="200"/>
      <c r="J3" s="200"/>
      <c r="K3" s="200"/>
      <c r="L3" s="200"/>
      <c r="M3" s="200"/>
      <c r="N3" s="200"/>
      <c r="O3" s="200"/>
      <c r="P3" s="200"/>
      <c r="Q3" s="200"/>
      <c r="R3" s="200"/>
      <c r="S3" s="200"/>
      <c r="T3" s="200"/>
      <c r="AH3">
        <v>55.166666666666664</v>
      </c>
      <c r="AI3">
        <v>0.58399999999999996</v>
      </c>
      <c r="AK3">
        <v>0.58399999999999996</v>
      </c>
    </row>
    <row r="4" spans="1:54" x14ac:dyDescent="0.25">
      <c r="A4" s="200" t="s">
        <v>148</v>
      </c>
      <c r="B4" s="200"/>
      <c r="C4" s="200"/>
      <c r="D4" s="200"/>
      <c r="E4" s="200"/>
      <c r="F4" s="200"/>
      <c r="G4" s="200"/>
      <c r="H4" s="200"/>
      <c r="I4" s="200"/>
      <c r="J4" s="200"/>
      <c r="K4" s="200"/>
      <c r="L4" s="200"/>
      <c r="M4" s="200"/>
      <c r="N4" s="200"/>
      <c r="O4" s="200"/>
      <c r="P4" s="200"/>
      <c r="Q4" s="200"/>
      <c r="R4" s="200"/>
      <c r="S4" s="200"/>
      <c r="T4" s="200"/>
      <c r="AH4">
        <v>55.25</v>
      </c>
      <c r="AI4">
        <v>0.58599999999999997</v>
      </c>
      <c r="AK4">
        <v>0.58599999999999997</v>
      </c>
      <c r="AV4">
        <v>55</v>
      </c>
      <c r="AW4">
        <v>0.55400000000000005</v>
      </c>
    </row>
    <row r="5" spans="1:54" x14ac:dyDescent="0.25">
      <c r="A5" s="200" t="s">
        <v>145</v>
      </c>
      <c r="B5" s="200"/>
      <c r="C5" s="200"/>
      <c r="D5" s="200"/>
      <c r="E5" s="200"/>
      <c r="F5" s="200"/>
      <c r="G5" s="200"/>
      <c r="H5" s="200"/>
      <c r="I5" s="200"/>
      <c r="J5" s="200"/>
      <c r="K5" s="200"/>
      <c r="L5" s="200"/>
      <c r="M5" s="200"/>
      <c r="N5" s="200"/>
      <c r="O5" s="200"/>
      <c r="P5" s="200"/>
      <c r="Q5" s="200"/>
      <c r="R5" s="200"/>
      <c r="S5" s="200"/>
      <c r="T5" s="200"/>
      <c r="AH5">
        <v>55.333333333333336</v>
      </c>
      <c r="AI5">
        <v>0.58799999999999997</v>
      </c>
      <c r="AK5">
        <v>0.58799999999999997</v>
      </c>
      <c r="AV5">
        <v>55.083333333333336</v>
      </c>
      <c r="AW5">
        <v>0.55600000000000005</v>
      </c>
    </row>
    <row r="6" spans="1:54" x14ac:dyDescent="0.25">
      <c r="A6" s="200" t="s">
        <v>146</v>
      </c>
      <c r="B6" s="200"/>
      <c r="C6" s="200"/>
      <c r="D6" s="200"/>
      <c r="E6" s="200"/>
      <c r="F6" s="200"/>
      <c r="G6" s="200"/>
      <c r="H6" s="200"/>
      <c r="I6" s="200"/>
      <c r="J6" s="200"/>
      <c r="K6" s="200"/>
      <c r="L6" s="200"/>
      <c r="M6" s="200"/>
      <c r="N6" s="200"/>
      <c r="O6" s="200"/>
      <c r="P6" s="200"/>
      <c r="Q6" s="200"/>
      <c r="R6" s="200"/>
      <c r="S6" s="200"/>
      <c r="T6" s="200"/>
      <c r="AH6">
        <v>55.416666666666664</v>
      </c>
      <c r="AI6">
        <v>0.59</v>
      </c>
      <c r="AK6">
        <v>0.59</v>
      </c>
      <c r="AV6">
        <v>55.166666666666664</v>
      </c>
      <c r="AW6">
        <v>0.55800000000000005</v>
      </c>
    </row>
    <row r="7" spans="1:54" x14ac:dyDescent="0.25">
      <c r="A7" s="200" t="s">
        <v>147</v>
      </c>
      <c r="B7" s="200"/>
      <c r="C7" s="200"/>
      <c r="D7" s="200"/>
      <c r="E7" s="200"/>
      <c r="F7" s="200"/>
      <c r="G7" s="200"/>
      <c r="H7" s="200"/>
      <c r="I7" s="200"/>
      <c r="J7" s="200"/>
      <c r="K7" s="200"/>
      <c r="L7" s="200"/>
      <c r="M7" s="200"/>
      <c r="N7" s="200"/>
      <c r="O7" s="200"/>
      <c r="P7" s="200"/>
      <c r="Q7" s="200"/>
      <c r="R7" s="200"/>
      <c r="S7" s="200"/>
      <c r="T7" s="200"/>
      <c r="AH7">
        <v>55.5</v>
      </c>
      <c r="AI7">
        <v>0.59099999999999997</v>
      </c>
      <c r="AK7">
        <v>0.59099999999999997</v>
      </c>
      <c r="AV7">
        <v>55.25</v>
      </c>
      <c r="AW7">
        <v>0.56000000000000005</v>
      </c>
    </row>
    <row r="8" spans="1:54" x14ac:dyDescent="0.25">
      <c r="A8" s="200" t="s">
        <v>170</v>
      </c>
      <c r="B8" s="200"/>
      <c r="C8" s="200"/>
      <c r="D8" s="200"/>
      <c r="E8" s="200"/>
      <c r="F8" s="200"/>
      <c r="G8" s="200"/>
      <c r="H8" s="200"/>
      <c r="I8" s="200"/>
      <c r="J8" s="200"/>
      <c r="K8" s="200"/>
      <c r="L8" s="200"/>
      <c r="M8" s="200"/>
      <c r="N8" s="200"/>
      <c r="O8" s="200"/>
      <c r="P8" s="200"/>
      <c r="Q8" s="200"/>
      <c r="R8" s="200"/>
      <c r="S8" s="200"/>
      <c r="T8" s="200"/>
      <c r="AH8">
        <v>55.583333333333336</v>
      </c>
      <c r="AI8">
        <v>0.59299999999999997</v>
      </c>
      <c r="AK8">
        <v>0.59299999999999997</v>
      </c>
      <c r="AV8">
        <v>55.333333333333336</v>
      </c>
      <c r="AW8">
        <v>0.56200000000000006</v>
      </c>
    </row>
    <row r="9" spans="1:54" x14ac:dyDescent="0.25">
      <c r="A9" s="200" t="s">
        <v>149</v>
      </c>
      <c r="B9" s="200"/>
      <c r="C9" s="200"/>
      <c r="D9" s="200"/>
      <c r="E9" s="200"/>
      <c r="F9" s="200"/>
      <c r="G9" s="200"/>
      <c r="H9" s="200"/>
      <c r="I9" s="200"/>
      <c r="J9" s="200"/>
      <c r="K9" s="200"/>
      <c r="L9" s="200"/>
      <c r="M9" s="200"/>
      <c r="N9" s="200"/>
      <c r="O9" s="200"/>
      <c r="P9" s="200"/>
      <c r="Q9" s="200"/>
      <c r="R9" s="200"/>
      <c r="S9" s="200"/>
      <c r="T9" s="200"/>
      <c r="AH9">
        <v>55.666666666666664</v>
      </c>
      <c r="AI9">
        <v>0.59499999999999997</v>
      </c>
      <c r="AK9">
        <v>0.59499999999999997</v>
      </c>
      <c r="AV9">
        <v>55.416666666666664</v>
      </c>
      <c r="AW9">
        <v>0.56399999999999995</v>
      </c>
    </row>
    <row r="10" spans="1:54" x14ac:dyDescent="0.25">
      <c r="A10" s="200"/>
      <c r="B10" s="200"/>
      <c r="C10" s="200"/>
      <c r="D10" s="200"/>
      <c r="E10" s="200"/>
      <c r="F10" s="200"/>
      <c r="G10" s="200"/>
      <c r="H10" s="200"/>
      <c r="I10" s="200"/>
      <c r="J10" s="200"/>
      <c r="K10" s="200"/>
      <c r="L10" s="200"/>
      <c r="M10" s="200"/>
      <c r="N10" s="200"/>
      <c r="O10" s="200"/>
      <c r="P10" s="200"/>
      <c r="Q10" s="200"/>
      <c r="R10" s="200"/>
      <c r="S10" s="200"/>
      <c r="T10" s="200"/>
      <c r="AH10">
        <v>55.75</v>
      </c>
      <c r="AI10">
        <v>0.59699999999999998</v>
      </c>
      <c r="AK10">
        <v>0.59699999999999998</v>
      </c>
      <c r="AV10">
        <v>55.5</v>
      </c>
      <c r="AW10">
        <v>0.56599999999999995</v>
      </c>
    </row>
    <row r="11" spans="1:54" x14ac:dyDescent="0.25">
      <c r="A11" s="200"/>
      <c r="B11" s="200"/>
      <c r="C11" s="200"/>
      <c r="D11" s="200"/>
      <c r="E11" s="200"/>
      <c r="F11" s="200"/>
      <c r="G11" s="200"/>
      <c r="H11" s="200"/>
      <c r="I11" s="200"/>
      <c r="J11" s="200"/>
      <c r="K11" s="200"/>
      <c r="L11" s="200"/>
      <c r="M11" s="200"/>
      <c r="N11" s="200"/>
      <c r="O11" s="200"/>
      <c r="P11" s="200"/>
      <c r="Q11" s="200"/>
      <c r="R11" s="200"/>
      <c r="S11" s="200"/>
      <c r="T11" s="200"/>
      <c r="AH11">
        <v>55.833333333333336</v>
      </c>
      <c r="AI11">
        <v>0.59899999999999998</v>
      </c>
      <c r="AK11">
        <v>0.59899999999999998</v>
      </c>
      <c r="AP11">
        <v>1</v>
      </c>
      <c r="AQ11">
        <v>12</v>
      </c>
      <c r="AR11">
        <f>AP11/AQ11</f>
        <v>8.3333333333333329E-2</v>
      </c>
      <c r="AV11">
        <v>55.583333333333336</v>
      </c>
      <c r="AW11">
        <v>0.56799999999999995</v>
      </c>
    </row>
    <row r="12" spans="1:54" x14ac:dyDescent="0.25">
      <c r="A12" s="200" t="s">
        <v>88</v>
      </c>
      <c r="B12" s="200"/>
      <c r="C12" s="200"/>
      <c r="D12" s="200"/>
      <c r="E12" s="200"/>
      <c r="F12" s="200"/>
      <c r="G12" s="200"/>
      <c r="H12" s="200"/>
      <c r="I12" s="200"/>
      <c r="J12" s="200"/>
      <c r="K12" s="200"/>
      <c r="L12" s="200"/>
      <c r="M12" s="200"/>
      <c r="N12" s="200"/>
      <c r="O12" s="200"/>
      <c r="P12" s="200"/>
      <c r="Q12" s="200"/>
      <c r="R12" s="200"/>
      <c r="S12" s="200"/>
      <c r="T12" s="200"/>
      <c r="AH12">
        <v>55.916666666666664</v>
      </c>
      <c r="AI12">
        <v>0.60099999999999998</v>
      </c>
      <c r="AK12">
        <v>0.60099999999999998</v>
      </c>
      <c r="AL12" t="s">
        <v>34</v>
      </c>
      <c r="AN12" t="s">
        <v>35</v>
      </c>
      <c r="AP12">
        <v>2</v>
      </c>
      <c r="AQ12">
        <v>12</v>
      </c>
      <c r="AR12">
        <f t="shared" ref="AR12:AR21" si="0">AP12/AQ12</f>
        <v>0.16666666666666666</v>
      </c>
      <c r="AV12">
        <v>55.666666666666664</v>
      </c>
      <c r="AW12">
        <v>0.56999999999999995</v>
      </c>
      <c r="AZ12" t="s">
        <v>34</v>
      </c>
      <c r="BB12" t="s">
        <v>35</v>
      </c>
    </row>
    <row r="13" spans="1:54" x14ac:dyDescent="0.25">
      <c r="A13" s="200"/>
      <c r="B13" s="200"/>
      <c r="C13" s="200"/>
      <c r="D13" s="200"/>
      <c r="E13" s="200"/>
      <c r="F13" s="200"/>
      <c r="G13" s="200"/>
      <c r="H13" s="200"/>
      <c r="I13" s="200"/>
      <c r="J13" s="200"/>
      <c r="K13" s="200"/>
      <c r="L13" s="200" t="s">
        <v>32</v>
      </c>
      <c r="M13" s="200" t="s">
        <v>89</v>
      </c>
      <c r="N13" s="200"/>
      <c r="O13" s="200"/>
      <c r="P13" s="200"/>
      <c r="Q13" s="200"/>
      <c r="R13" s="200"/>
      <c r="S13" s="200"/>
      <c r="T13" s="200"/>
      <c r="AH13">
        <v>56</v>
      </c>
      <c r="AI13">
        <v>0.60299999999999998</v>
      </c>
      <c r="AK13">
        <v>0.60299999999999998</v>
      </c>
      <c r="AP13">
        <v>3</v>
      </c>
      <c r="AQ13">
        <v>12</v>
      </c>
      <c r="AR13">
        <f t="shared" si="0"/>
        <v>0.25</v>
      </c>
      <c r="AV13">
        <v>55.75</v>
      </c>
      <c r="AW13">
        <v>0.57199999999999995</v>
      </c>
    </row>
    <row r="14" spans="1:54" x14ac:dyDescent="0.25">
      <c r="A14" s="200" t="s">
        <v>154</v>
      </c>
      <c r="B14" s="200"/>
      <c r="C14" s="200"/>
      <c r="D14" s="200"/>
      <c r="E14" s="200"/>
      <c r="F14" s="200"/>
      <c r="G14" s="200"/>
      <c r="H14" s="200"/>
      <c r="I14" s="200"/>
      <c r="J14" s="200"/>
      <c r="K14" s="200"/>
      <c r="L14" s="202">
        <f>'1995 Scheme Information'!M13</f>
        <v>0</v>
      </c>
      <c r="M14" s="202">
        <f>'1995 Scheme Information'!N13</f>
        <v>0</v>
      </c>
      <c r="N14" s="200"/>
      <c r="O14" s="200"/>
      <c r="P14" s="200"/>
      <c r="Q14" s="200"/>
      <c r="R14" s="200"/>
      <c r="S14" s="200"/>
      <c r="T14" s="200"/>
      <c r="AH14">
        <v>56.083333333333336</v>
      </c>
      <c r="AI14">
        <v>0.60499999999999998</v>
      </c>
      <c r="AK14">
        <v>0.60499999999999998</v>
      </c>
      <c r="AL14">
        <f>U17/12</f>
        <v>0</v>
      </c>
      <c r="AN14">
        <f>AL14+T17</f>
        <v>0</v>
      </c>
      <c r="AP14">
        <v>4</v>
      </c>
      <c r="AQ14">
        <v>12</v>
      </c>
      <c r="AR14">
        <f t="shared" si="0"/>
        <v>0.33333333333333331</v>
      </c>
      <c r="AV14">
        <v>55.833333333333336</v>
      </c>
      <c r="AW14">
        <v>0.57399999999999995</v>
      </c>
      <c r="AZ14">
        <f>U17/12</f>
        <v>0</v>
      </c>
      <c r="BB14">
        <f>T17+AZ14</f>
        <v>0</v>
      </c>
    </row>
    <row r="15" spans="1:54" x14ac:dyDescent="0.25">
      <c r="A15" s="200" t="s">
        <v>93</v>
      </c>
      <c r="B15" s="200"/>
      <c r="C15" s="200"/>
      <c r="D15" s="200"/>
      <c r="E15" s="200"/>
      <c r="F15" s="200"/>
      <c r="G15" s="200"/>
      <c r="H15" s="200"/>
      <c r="I15" s="200"/>
      <c r="J15" s="200"/>
      <c r="K15" s="200"/>
      <c r="L15" s="200"/>
      <c r="M15" s="200"/>
      <c r="N15" s="200"/>
      <c r="O15" s="200"/>
      <c r="P15" s="200"/>
      <c r="Q15" s="200"/>
      <c r="R15" s="200"/>
      <c r="S15" s="200"/>
      <c r="T15" s="200"/>
      <c r="AH15">
        <v>56.166666666666664</v>
      </c>
      <c r="AI15">
        <v>0.60699999999999998</v>
      </c>
      <c r="AK15">
        <v>0.60699999999999998</v>
      </c>
      <c r="AP15">
        <v>5</v>
      </c>
      <c r="AQ15">
        <v>12</v>
      </c>
      <c r="AR15">
        <f t="shared" si="0"/>
        <v>0.41666666666666669</v>
      </c>
      <c r="AV15">
        <v>55.916666666666664</v>
      </c>
      <c r="AW15">
        <v>0.57599999999999996</v>
      </c>
    </row>
    <row r="16" spans="1:54" x14ac:dyDescent="0.25">
      <c r="A16" s="200"/>
      <c r="B16" s="200"/>
      <c r="C16" s="200"/>
      <c r="D16" s="200"/>
      <c r="E16" s="200"/>
      <c r="F16" s="200"/>
      <c r="G16" s="200"/>
      <c r="H16" s="200"/>
      <c r="I16" s="200"/>
      <c r="J16" s="200"/>
      <c r="K16" s="200"/>
      <c r="L16" s="200"/>
      <c r="M16" s="200"/>
      <c r="N16" s="200"/>
      <c r="O16" s="200"/>
      <c r="P16" s="200"/>
      <c r="Q16" s="200"/>
      <c r="R16" s="200"/>
      <c r="S16" s="200"/>
      <c r="T16" s="200"/>
      <c r="AH16">
        <v>56.25</v>
      </c>
      <c r="AI16">
        <v>0.60899999999999999</v>
      </c>
      <c r="AK16">
        <v>0.60899999999999999</v>
      </c>
      <c r="AP16">
        <v>6</v>
      </c>
      <c r="AQ16">
        <v>12</v>
      </c>
      <c r="AR16">
        <f t="shared" si="0"/>
        <v>0.5</v>
      </c>
      <c r="AV16">
        <v>56</v>
      </c>
      <c r="AW16">
        <v>0.57799999999999996</v>
      </c>
    </row>
    <row r="17" spans="1:52" x14ac:dyDescent="0.25">
      <c r="A17" s="200" t="s">
        <v>139</v>
      </c>
      <c r="B17" s="200"/>
      <c r="C17" s="200"/>
      <c r="D17" s="200"/>
      <c r="E17" s="200"/>
      <c r="F17" s="200"/>
      <c r="G17" s="200"/>
      <c r="H17" s="200"/>
      <c r="I17" s="200"/>
      <c r="J17" s="200"/>
      <c r="K17" s="200"/>
      <c r="L17" s="202">
        <v>45000</v>
      </c>
      <c r="M17" s="200"/>
      <c r="N17" s="200"/>
      <c r="O17" s="200"/>
      <c r="P17" s="200"/>
      <c r="Q17" s="200"/>
      <c r="R17" s="200"/>
      <c r="S17" s="200"/>
      <c r="T17" s="200"/>
      <c r="AH17">
        <v>56.333333333333336</v>
      </c>
      <c r="AI17">
        <v>0.61099999999999999</v>
      </c>
      <c r="AK17">
        <v>0.61099999999999999</v>
      </c>
      <c r="AP17">
        <v>7</v>
      </c>
      <c r="AQ17">
        <v>12</v>
      </c>
      <c r="AR17">
        <f t="shared" si="0"/>
        <v>0.58333333333333337</v>
      </c>
      <c r="AV17">
        <v>56.083333333333336</v>
      </c>
      <c r="AW17">
        <v>0.58099999999999996</v>
      </c>
      <c r="AZ17">
        <f>BB14+AZ14</f>
        <v>0</v>
      </c>
    </row>
    <row r="18" spans="1:52" x14ac:dyDescent="0.25">
      <c r="A18" s="200"/>
      <c r="B18" s="200"/>
      <c r="C18" s="200"/>
      <c r="D18" s="200"/>
      <c r="E18" s="200"/>
      <c r="F18" s="200"/>
      <c r="G18" s="200"/>
      <c r="H18" s="200"/>
      <c r="I18" s="200"/>
      <c r="J18" s="200"/>
      <c r="K18" s="200"/>
      <c r="L18" s="200"/>
      <c r="M18" s="200"/>
      <c r="N18" s="200"/>
      <c r="O18" s="200"/>
      <c r="P18" s="200"/>
      <c r="Q18" s="200"/>
      <c r="R18" s="200"/>
      <c r="S18" s="200"/>
      <c r="T18" s="200"/>
      <c r="AH18">
        <v>56.416666666666664</v>
      </c>
      <c r="AI18">
        <v>0.61299999999999999</v>
      </c>
      <c r="AK18">
        <v>0.61299999999999999</v>
      </c>
      <c r="AP18">
        <v>8</v>
      </c>
      <c r="AQ18">
        <v>12</v>
      </c>
      <c r="AR18">
        <f t="shared" si="0"/>
        <v>0.66666666666666663</v>
      </c>
      <c r="AV18">
        <v>56.166666666666664</v>
      </c>
      <c r="AW18">
        <v>0.58299999999999996</v>
      </c>
    </row>
    <row r="19" spans="1:52" x14ac:dyDescent="0.25">
      <c r="A19" s="200" t="s">
        <v>95</v>
      </c>
      <c r="B19" s="200"/>
      <c r="C19" s="200"/>
      <c r="D19" s="200"/>
      <c r="E19" s="200"/>
      <c r="F19" s="200"/>
      <c r="G19" s="200"/>
      <c r="H19" s="200"/>
      <c r="I19" s="200"/>
      <c r="J19" s="200"/>
      <c r="K19" s="200"/>
      <c r="L19" s="202" t="str">
        <f>'1995 Scheme Information'!M23</f>
        <v>No</v>
      </c>
      <c r="M19" s="200"/>
      <c r="N19" s="200"/>
      <c r="O19" s="200"/>
      <c r="P19" s="200"/>
      <c r="Q19" s="200"/>
      <c r="R19" s="200"/>
      <c r="S19" s="200"/>
      <c r="T19" s="200"/>
      <c r="AH19">
        <v>56.5</v>
      </c>
      <c r="AI19">
        <v>0.61499999999999999</v>
      </c>
      <c r="AK19">
        <v>0.61499999999999999</v>
      </c>
      <c r="AP19">
        <v>9</v>
      </c>
      <c r="AQ19">
        <v>12</v>
      </c>
      <c r="AR19">
        <f t="shared" si="0"/>
        <v>0.75</v>
      </c>
      <c r="AV19">
        <v>56.25</v>
      </c>
      <c r="AW19">
        <v>0.58499999999999996</v>
      </c>
    </row>
    <row r="20" spans="1:52" x14ac:dyDescent="0.25">
      <c r="A20" s="200"/>
      <c r="B20" s="200"/>
      <c r="C20" s="200"/>
      <c r="D20" s="200"/>
      <c r="E20" s="200"/>
      <c r="F20" s="200"/>
      <c r="G20" s="200"/>
      <c r="H20" s="200"/>
      <c r="I20" s="200"/>
      <c r="J20" s="200"/>
      <c r="K20" s="200"/>
      <c r="L20" s="200"/>
      <c r="M20" s="200"/>
      <c r="N20" s="200"/>
      <c r="O20" s="200"/>
      <c r="P20" s="200"/>
      <c r="Q20" s="200"/>
      <c r="R20" s="200"/>
      <c r="S20" s="200"/>
      <c r="T20" s="200"/>
      <c r="AH20">
        <v>56.583333333333336</v>
      </c>
      <c r="AI20">
        <v>0.61699999999999999</v>
      </c>
      <c r="AK20">
        <v>0.61699999999999999</v>
      </c>
      <c r="AP20">
        <v>10</v>
      </c>
      <c r="AQ20">
        <v>12</v>
      </c>
      <c r="AR20">
        <f t="shared" si="0"/>
        <v>0.83333333333333337</v>
      </c>
      <c r="AV20">
        <v>56.333333333333336</v>
      </c>
      <c r="AW20">
        <v>0.58699999999999997</v>
      </c>
    </row>
    <row r="21" spans="1:52" x14ac:dyDescent="0.25">
      <c r="A21" s="200" t="s">
        <v>150</v>
      </c>
      <c r="B21" s="200"/>
      <c r="C21" s="200"/>
      <c r="D21" s="200"/>
      <c r="E21" s="200"/>
      <c r="F21" s="200"/>
      <c r="G21" s="200"/>
      <c r="H21" s="200"/>
      <c r="I21" s="200"/>
      <c r="J21" s="200"/>
      <c r="K21" s="200"/>
      <c r="L21" s="200"/>
      <c r="M21" s="200"/>
      <c r="N21" s="200"/>
      <c r="O21" s="200"/>
      <c r="P21" s="200"/>
      <c r="Q21" s="200"/>
      <c r="R21" s="200"/>
      <c r="S21" s="200"/>
      <c r="T21" s="200"/>
      <c r="AH21">
        <v>56.666666666666664</v>
      </c>
      <c r="AI21">
        <v>0.61899999999999999</v>
      </c>
      <c r="AK21">
        <v>0.61899999999999999</v>
      </c>
      <c r="AP21">
        <v>11</v>
      </c>
      <c r="AQ21">
        <v>12</v>
      </c>
      <c r="AR21">
        <f t="shared" si="0"/>
        <v>0.91666666666666663</v>
      </c>
      <c r="AV21">
        <v>56.416666666666664</v>
      </c>
      <c r="AW21">
        <v>0.58899999999999997</v>
      </c>
    </row>
    <row r="22" spans="1:52" x14ac:dyDescent="0.25">
      <c r="A22" s="200"/>
      <c r="B22" s="200"/>
      <c r="C22" s="200"/>
      <c r="D22" s="200"/>
      <c r="E22" s="200"/>
      <c r="F22" s="200"/>
      <c r="G22" s="200"/>
      <c r="H22" s="200"/>
      <c r="I22" s="200"/>
      <c r="J22" s="200"/>
      <c r="K22" s="200"/>
      <c r="L22" s="200"/>
      <c r="M22" s="200"/>
      <c r="N22" s="200"/>
      <c r="O22" s="200"/>
      <c r="P22" s="200"/>
      <c r="Q22" s="200"/>
      <c r="R22" s="200"/>
      <c r="S22" s="200"/>
      <c r="T22" s="200"/>
      <c r="AH22">
        <v>56.75</v>
      </c>
      <c r="AI22">
        <v>0.621</v>
      </c>
      <c r="AK22">
        <v>0.621</v>
      </c>
      <c r="AV22">
        <v>56.5</v>
      </c>
      <c r="AW22">
        <v>0.59199999999999997</v>
      </c>
    </row>
    <row r="23" spans="1:52" x14ac:dyDescent="0.25">
      <c r="A23" s="200" t="s">
        <v>155</v>
      </c>
      <c r="B23" s="200"/>
      <c r="C23" s="200"/>
      <c r="D23" s="200"/>
      <c r="E23" s="200"/>
      <c r="F23" s="200"/>
      <c r="G23" s="200"/>
      <c r="H23" s="200"/>
      <c r="I23" s="200"/>
      <c r="J23" s="200"/>
      <c r="K23" s="200"/>
      <c r="L23" s="200"/>
      <c r="M23" s="200"/>
      <c r="N23" s="200"/>
      <c r="O23" s="200"/>
      <c r="P23" s="200"/>
      <c r="Q23" s="200"/>
      <c r="R23" s="200"/>
      <c r="S23" s="200"/>
      <c r="T23" s="200"/>
      <c r="AH23">
        <v>56.833333333333336</v>
      </c>
      <c r="AI23">
        <v>0.623</v>
      </c>
      <c r="AK23">
        <v>0.623</v>
      </c>
      <c r="AV23">
        <v>56.583333333333336</v>
      </c>
      <c r="AW23">
        <v>0.59399999999999997</v>
      </c>
    </row>
    <row r="24" spans="1:52" x14ac:dyDescent="0.25">
      <c r="A24" s="200"/>
      <c r="B24" s="200"/>
      <c r="C24" s="200"/>
      <c r="D24" s="200"/>
      <c r="E24" s="200"/>
      <c r="F24" s="200"/>
      <c r="G24" s="200"/>
      <c r="H24" s="200"/>
      <c r="I24" s="200"/>
      <c r="J24" s="200"/>
      <c r="K24" s="200"/>
      <c r="L24" s="200"/>
      <c r="M24" s="200"/>
      <c r="N24" s="200"/>
      <c r="O24" s="200"/>
      <c r="P24" s="200"/>
      <c r="Q24" s="200"/>
      <c r="R24" s="200"/>
      <c r="S24" s="200"/>
      <c r="T24" s="200"/>
      <c r="AH24">
        <v>56.916666666666664</v>
      </c>
      <c r="AI24">
        <v>0.625</v>
      </c>
      <c r="AK24">
        <v>0.625</v>
      </c>
      <c r="AV24">
        <v>56.666666666666664</v>
      </c>
      <c r="AW24">
        <v>0.59599999999999997</v>
      </c>
    </row>
    <row r="25" spans="1:52" x14ac:dyDescent="0.25">
      <c r="A25" s="200" t="s">
        <v>172</v>
      </c>
      <c r="B25" s="200"/>
      <c r="C25" s="200"/>
      <c r="D25" s="200"/>
      <c r="E25" s="200"/>
      <c r="F25" s="200"/>
      <c r="G25" s="200"/>
      <c r="H25" s="200"/>
      <c r="I25" s="200"/>
      <c r="J25" s="200"/>
      <c r="K25" s="200"/>
      <c r="L25" s="202">
        <f>'2015 Scheme Information'!M13</f>
        <v>0</v>
      </c>
      <c r="M25" s="200"/>
      <c r="N25" s="200"/>
      <c r="O25" s="200"/>
      <c r="P25" s="200"/>
      <c r="Q25" s="200"/>
      <c r="R25" s="200"/>
      <c r="S25" s="200"/>
      <c r="T25" s="200"/>
      <c r="AH25">
        <v>57</v>
      </c>
      <c r="AI25">
        <v>0.627</v>
      </c>
      <c r="AK25">
        <v>0.627</v>
      </c>
      <c r="AV25">
        <v>56.75</v>
      </c>
      <c r="AW25">
        <v>0.59799999999999998</v>
      </c>
    </row>
    <row r="26" spans="1:52" x14ac:dyDescent="0.25">
      <c r="A26" s="200"/>
      <c r="B26" s="200"/>
      <c r="C26" s="200"/>
      <c r="D26" s="200"/>
      <c r="E26" s="200"/>
      <c r="F26" s="200"/>
      <c r="G26" s="200"/>
      <c r="H26" s="200"/>
      <c r="I26" s="200"/>
      <c r="J26" s="200"/>
      <c r="K26" s="200"/>
      <c r="L26" s="200"/>
      <c r="M26" s="200"/>
      <c r="N26" s="200"/>
      <c r="O26" s="200"/>
      <c r="P26" s="200"/>
      <c r="Q26" s="200"/>
      <c r="R26" s="200"/>
      <c r="S26" s="200"/>
      <c r="T26" s="200"/>
      <c r="AH26">
        <v>57.083333333333336</v>
      </c>
      <c r="AI26">
        <v>0.629</v>
      </c>
      <c r="AK26">
        <v>0.629</v>
      </c>
      <c r="AV26">
        <v>56.833333333333336</v>
      </c>
      <c r="AW26">
        <v>0.6</v>
      </c>
    </row>
    <row r="27" spans="1:52" x14ac:dyDescent="0.25">
      <c r="A27" s="200" t="s">
        <v>157</v>
      </c>
      <c r="B27" s="200"/>
      <c r="C27" s="200"/>
      <c r="D27" s="200"/>
      <c r="E27" s="200"/>
      <c r="F27" s="200"/>
      <c r="G27" s="200"/>
      <c r="H27" s="200"/>
      <c r="I27" s="200"/>
      <c r="J27" s="200"/>
      <c r="K27" s="200"/>
      <c r="L27" s="200"/>
      <c r="M27" s="200"/>
      <c r="N27" s="200"/>
      <c r="O27" s="200"/>
      <c r="P27" s="200"/>
      <c r="Q27" s="200"/>
      <c r="R27" s="200"/>
      <c r="S27" s="200"/>
      <c r="T27" s="200"/>
      <c r="AH27">
        <v>57.166666666666664</v>
      </c>
      <c r="AI27">
        <v>0.63100000000000001</v>
      </c>
      <c r="AK27">
        <v>0.63100000000000001</v>
      </c>
      <c r="AV27">
        <v>56.916666666666664</v>
      </c>
      <c r="AW27">
        <v>0.60299999999999998</v>
      </c>
    </row>
    <row r="28" spans="1:52" x14ac:dyDescent="0.25">
      <c r="A28" s="200" t="s">
        <v>173</v>
      </c>
      <c r="B28" s="200"/>
      <c r="C28" s="200"/>
      <c r="D28" s="200"/>
      <c r="E28" s="200"/>
      <c r="F28" s="200"/>
      <c r="G28" s="200"/>
      <c r="H28" s="200"/>
      <c r="I28" s="200"/>
      <c r="J28" s="200"/>
      <c r="K28" s="200"/>
      <c r="L28" s="200" t="s">
        <v>158</v>
      </c>
      <c r="M28" s="200"/>
      <c r="N28" s="200"/>
      <c r="O28" s="200"/>
      <c r="P28" s="200"/>
      <c r="Q28" s="200"/>
      <c r="R28" s="200"/>
      <c r="S28" s="200"/>
      <c r="T28" s="200"/>
      <c r="AA28">
        <f>L25</f>
        <v>0</v>
      </c>
      <c r="AH28">
        <v>57.25</v>
      </c>
      <c r="AI28">
        <v>0.63400000000000001</v>
      </c>
      <c r="AK28">
        <v>0.63400000000000001</v>
      </c>
      <c r="AV28">
        <v>57</v>
      </c>
      <c r="AW28">
        <v>0.60499999999999998</v>
      </c>
    </row>
    <row r="29" spans="1:52" x14ac:dyDescent="0.25">
      <c r="A29" s="200"/>
      <c r="B29" s="200"/>
      <c r="C29" s="200"/>
      <c r="D29" s="200"/>
      <c r="E29" s="200"/>
      <c r="F29" s="200"/>
      <c r="G29" s="200"/>
      <c r="H29" s="200"/>
      <c r="I29" s="200"/>
      <c r="J29" s="200" t="s">
        <v>156</v>
      </c>
      <c r="K29" s="200"/>
      <c r="L29" s="202">
        <f>'2015 Scheme Information'!M24</f>
        <v>0</v>
      </c>
      <c r="M29" s="200"/>
      <c r="N29" s="200"/>
      <c r="O29" s="200"/>
      <c r="P29" s="200"/>
      <c r="Q29" s="200"/>
      <c r="R29" s="200"/>
      <c r="S29" s="200"/>
      <c r="T29" s="200"/>
      <c r="U29">
        <f>L29</f>
        <v>0</v>
      </c>
      <c r="V29" s="197">
        <f t="shared" ref="V29:V33" si="1">U29/54</f>
        <v>0</v>
      </c>
      <c r="W29" s="197">
        <f t="shared" ref="W29:W33" si="2">V29+AA28</f>
        <v>0</v>
      </c>
      <c r="X29">
        <v>0.02</v>
      </c>
      <c r="Y29">
        <v>1.4999999999999999E-2</v>
      </c>
      <c r="Z29">
        <f t="shared" ref="Z29:Z33" si="3">X29+Y29</f>
        <v>3.5000000000000003E-2</v>
      </c>
      <c r="AA29" s="197">
        <f t="shared" ref="AA29:AA33" si="4">W29*Z29+W29</f>
        <v>0</v>
      </c>
      <c r="AC29" s="197">
        <f>IF(V29&gt;0,AA29,0)</f>
        <v>0</v>
      </c>
      <c r="AH29">
        <v>57.333333333333336</v>
      </c>
      <c r="AI29">
        <v>0.63600000000000001</v>
      </c>
      <c r="AK29">
        <v>0.63600000000000001</v>
      </c>
      <c r="AV29">
        <v>57.083333333333336</v>
      </c>
      <c r="AW29">
        <v>0.60699999999999998</v>
      </c>
    </row>
    <row r="30" spans="1:52" x14ac:dyDescent="0.25">
      <c r="A30" s="200"/>
      <c r="B30" s="200"/>
      <c r="C30" s="200"/>
      <c r="D30" s="200"/>
      <c r="E30" s="200"/>
      <c r="F30" s="200"/>
      <c r="G30" s="200"/>
      <c r="H30" s="200"/>
      <c r="I30" s="200"/>
      <c r="J30" s="200" t="s">
        <v>159</v>
      </c>
      <c r="K30" s="200"/>
      <c r="L30" s="202">
        <f>'2015 Scheme Information'!M25</f>
        <v>0</v>
      </c>
      <c r="M30" s="200"/>
      <c r="N30" s="200"/>
      <c r="O30" s="200"/>
      <c r="P30" s="200"/>
      <c r="Q30" s="200"/>
      <c r="R30" s="200"/>
      <c r="S30" s="200"/>
      <c r="T30" s="200"/>
      <c r="U30">
        <f t="shared" ref="U30:U33" si="5">L30</f>
        <v>0</v>
      </c>
      <c r="V30" s="197">
        <f t="shared" si="1"/>
        <v>0</v>
      </c>
      <c r="W30" s="197">
        <f t="shared" si="2"/>
        <v>0</v>
      </c>
      <c r="X30">
        <v>0.02</v>
      </c>
      <c r="Y30">
        <v>1.4999999999999999E-2</v>
      </c>
      <c r="Z30">
        <f t="shared" si="3"/>
        <v>3.5000000000000003E-2</v>
      </c>
      <c r="AA30" s="197">
        <f t="shared" si="4"/>
        <v>0</v>
      </c>
      <c r="AC30" s="197">
        <f t="shared" ref="AC30:AC33" si="6">IF(V30&gt;0,AA30,0)</f>
        <v>0</v>
      </c>
      <c r="AH30">
        <v>57.416666666666664</v>
      </c>
      <c r="AI30">
        <v>0.63800000000000001</v>
      </c>
      <c r="AK30">
        <v>0.63800000000000001</v>
      </c>
      <c r="AV30">
        <v>57.166666666666664</v>
      </c>
      <c r="AW30">
        <v>0.61</v>
      </c>
    </row>
    <row r="31" spans="1:52" x14ac:dyDescent="0.25">
      <c r="A31" s="200"/>
      <c r="B31" s="200"/>
      <c r="C31" s="200"/>
      <c r="D31" s="200"/>
      <c r="E31" s="200"/>
      <c r="F31" s="200"/>
      <c r="G31" s="200"/>
      <c r="H31" s="200"/>
      <c r="I31" s="200"/>
      <c r="J31" s="200" t="s">
        <v>160</v>
      </c>
      <c r="K31" s="200"/>
      <c r="L31" s="202">
        <f>'2015 Scheme Information'!M26</f>
        <v>0</v>
      </c>
      <c r="M31" s="200"/>
      <c r="N31" s="200"/>
      <c r="O31" s="200"/>
      <c r="P31" s="200"/>
      <c r="Q31" s="200"/>
      <c r="R31" s="200"/>
      <c r="S31" s="200"/>
      <c r="T31" s="200"/>
      <c r="U31">
        <f t="shared" si="5"/>
        <v>0</v>
      </c>
      <c r="V31" s="197">
        <f t="shared" si="1"/>
        <v>0</v>
      </c>
      <c r="W31" s="197">
        <f t="shared" si="2"/>
        <v>0</v>
      </c>
      <c r="X31">
        <v>0.02</v>
      </c>
      <c r="Y31">
        <v>1.4999999999999999E-2</v>
      </c>
      <c r="Z31">
        <f t="shared" si="3"/>
        <v>3.5000000000000003E-2</v>
      </c>
      <c r="AA31" s="197">
        <f t="shared" si="4"/>
        <v>0</v>
      </c>
      <c r="AC31" s="197">
        <f t="shared" si="6"/>
        <v>0</v>
      </c>
      <c r="AH31">
        <v>57.5</v>
      </c>
      <c r="AI31">
        <v>0.64</v>
      </c>
      <c r="AK31">
        <v>0.64</v>
      </c>
      <c r="AV31">
        <v>57.25</v>
      </c>
      <c r="AW31">
        <v>0.61199999999999999</v>
      </c>
    </row>
    <row r="32" spans="1:52" x14ac:dyDescent="0.25">
      <c r="A32" s="200"/>
      <c r="B32" s="200"/>
      <c r="C32" s="200"/>
      <c r="D32" s="200"/>
      <c r="E32" s="200"/>
      <c r="F32" s="200"/>
      <c r="G32" s="200"/>
      <c r="H32" s="200"/>
      <c r="I32" s="200"/>
      <c r="J32" s="200" t="s">
        <v>161</v>
      </c>
      <c r="K32" s="200"/>
      <c r="L32" s="202">
        <f>'2015 Scheme Information'!M27</f>
        <v>0</v>
      </c>
      <c r="M32" s="200"/>
      <c r="N32" s="200"/>
      <c r="O32" s="200"/>
      <c r="P32" s="200"/>
      <c r="Q32" s="200"/>
      <c r="R32" s="200"/>
      <c r="S32" s="200"/>
      <c r="T32" s="200"/>
      <c r="U32">
        <f t="shared" si="5"/>
        <v>0</v>
      </c>
      <c r="V32" s="197">
        <f t="shared" si="1"/>
        <v>0</v>
      </c>
      <c r="W32" s="197">
        <f t="shared" si="2"/>
        <v>0</v>
      </c>
      <c r="X32">
        <v>0.02</v>
      </c>
      <c r="Y32">
        <v>1.4999999999999999E-2</v>
      </c>
      <c r="Z32">
        <f t="shared" si="3"/>
        <v>3.5000000000000003E-2</v>
      </c>
      <c r="AA32" s="197">
        <f t="shared" si="4"/>
        <v>0</v>
      </c>
      <c r="AC32" s="197">
        <f t="shared" si="6"/>
        <v>0</v>
      </c>
      <c r="AH32">
        <v>57.583333333333336</v>
      </c>
      <c r="AI32">
        <v>0.64200000000000002</v>
      </c>
      <c r="AK32">
        <v>0.64200000000000002</v>
      </c>
      <c r="AV32">
        <v>57.333333333333336</v>
      </c>
      <c r="AW32">
        <v>0.61399999999999999</v>
      </c>
    </row>
    <row r="33" spans="1:49" x14ac:dyDescent="0.25">
      <c r="A33" s="200"/>
      <c r="B33" s="200"/>
      <c r="C33" s="200"/>
      <c r="D33" s="200"/>
      <c r="E33" s="200"/>
      <c r="F33" s="200"/>
      <c r="G33" s="200"/>
      <c r="H33" s="200"/>
      <c r="I33" s="200"/>
      <c r="J33" s="200" t="s">
        <v>162</v>
      </c>
      <c r="K33" s="200"/>
      <c r="L33" s="202">
        <f>'2015 Scheme Information'!M28</f>
        <v>0</v>
      </c>
      <c r="M33" s="200"/>
      <c r="N33" s="200"/>
      <c r="O33" s="200"/>
      <c r="P33" s="200"/>
      <c r="Q33" s="200"/>
      <c r="R33" s="200"/>
      <c r="S33" s="200"/>
      <c r="T33" s="200"/>
      <c r="U33">
        <f t="shared" si="5"/>
        <v>0</v>
      </c>
      <c r="V33" s="197">
        <f t="shared" si="1"/>
        <v>0</v>
      </c>
      <c r="W33" s="197">
        <f t="shared" si="2"/>
        <v>0</v>
      </c>
      <c r="X33">
        <v>0.02</v>
      </c>
      <c r="Y33">
        <v>1.4999999999999999E-2</v>
      </c>
      <c r="Z33">
        <f t="shared" si="3"/>
        <v>3.5000000000000003E-2</v>
      </c>
      <c r="AA33" s="197">
        <f t="shared" si="4"/>
        <v>0</v>
      </c>
      <c r="AC33" s="197">
        <f t="shared" si="6"/>
        <v>0</v>
      </c>
      <c r="AH33">
        <v>57.666666666666664</v>
      </c>
      <c r="AI33">
        <v>0.64400000000000002</v>
      </c>
      <c r="AK33">
        <v>0.64400000000000002</v>
      </c>
      <c r="AV33">
        <v>57.416666666666664</v>
      </c>
      <c r="AW33">
        <v>0.61699999999999999</v>
      </c>
    </row>
    <row r="34" spans="1:49" x14ac:dyDescent="0.25">
      <c r="A34" s="200"/>
      <c r="B34" s="200"/>
      <c r="C34" s="200"/>
      <c r="D34" s="200"/>
      <c r="E34" s="200"/>
      <c r="F34" s="200"/>
      <c r="G34" s="200"/>
      <c r="H34" s="200"/>
      <c r="I34" s="200"/>
      <c r="J34" s="200"/>
      <c r="K34" s="200"/>
      <c r="L34" s="200"/>
      <c r="M34" s="200"/>
      <c r="N34" s="200"/>
      <c r="O34" s="200"/>
      <c r="P34" s="200"/>
      <c r="Q34" s="200"/>
      <c r="R34" s="200"/>
      <c r="S34" s="200"/>
      <c r="T34" s="200"/>
      <c r="AH34">
        <v>57.75</v>
      </c>
      <c r="AI34">
        <v>0.64700000000000002</v>
      </c>
      <c r="AK34">
        <v>0.64700000000000002</v>
      </c>
      <c r="AV34">
        <v>57.5</v>
      </c>
      <c r="AW34">
        <v>0.61899999999999999</v>
      </c>
    </row>
    <row r="35" spans="1:49" x14ac:dyDescent="0.25">
      <c r="A35" s="200"/>
      <c r="B35" s="200"/>
      <c r="C35" s="200"/>
      <c r="D35" s="200"/>
      <c r="E35" s="200"/>
      <c r="F35" s="200"/>
      <c r="G35" s="200"/>
      <c r="H35" s="200"/>
      <c r="I35" s="200"/>
      <c r="J35" s="200"/>
      <c r="K35" s="200"/>
      <c r="L35" s="200" t="s">
        <v>32</v>
      </c>
      <c r="M35" s="200" t="s">
        <v>33</v>
      </c>
      <c r="N35" s="200"/>
      <c r="O35" s="200"/>
      <c r="P35" s="200"/>
      <c r="Q35" s="200"/>
      <c r="R35" s="200"/>
      <c r="S35" s="200"/>
      <c r="T35" s="200"/>
      <c r="AA35" s="197">
        <f>MAX(AC29:AC33)</f>
        <v>0</v>
      </c>
      <c r="AB35" t="s">
        <v>164</v>
      </c>
      <c r="AH35">
        <v>57.833333333333336</v>
      </c>
      <c r="AI35">
        <v>0.64900000000000002</v>
      </c>
      <c r="AK35">
        <v>0.64900000000000002</v>
      </c>
      <c r="AV35">
        <v>57.583333333333336</v>
      </c>
      <c r="AW35">
        <v>0.621</v>
      </c>
    </row>
    <row r="36" spans="1:49" x14ac:dyDescent="0.25">
      <c r="A36" s="200" t="s">
        <v>97</v>
      </c>
      <c r="B36" s="200"/>
      <c r="C36" s="200"/>
      <c r="D36" s="200"/>
      <c r="E36" s="200"/>
      <c r="F36" s="200"/>
      <c r="G36" s="200"/>
      <c r="H36" s="200"/>
      <c r="I36" s="200"/>
      <c r="J36" s="200"/>
      <c r="K36" s="200"/>
      <c r="L36" s="202">
        <f>'Age at Retirement'!M18</f>
        <v>67</v>
      </c>
      <c r="M36" s="202">
        <f>'Age at Retirement'!N18</f>
        <v>0</v>
      </c>
      <c r="N36" s="200"/>
      <c r="O36" s="200"/>
      <c r="P36" s="200"/>
      <c r="Q36" s="200"/>
      <c r="R36" s="200"/>
      <c r="S36" s="200"/>
      <c r="T36" s="200"/>
      <c r="U36">
        <f>L36+M36/12</f>
        <v>67</v>
      </c>
      <c r="AH36">
        <v>57.916666666666664</v>
      </c>
      <c r="AI36">
        <v>0.65100000000000002</v>
      </c>
      <c r="AK36">
        <v>0.65100000000000002</v>
      </c>
      <c r="AV36">
        <v>57.666666666666664</v>
      </c>
      <c r="AW36">
        <v>0.624</v>
      </c>
    </row>
    <row r="37" spans="1:49" x14ac:dyDescent="0.25">
      <c r="A37" s="200"/>
      <c r="B37" s="200"/>
      <c r="C37" s="200"/>
      <c r="D37" s="200"/>
      <c r="E37" s="200"/>
      <c r="F37" s="200"/>
      <c r="G37" s="200"/>
      <c r="H37" s="200"/>
      <c r="I37" s="200"/>
      <c r="J37" s="200"/>
      <c r="K37" s="200"/>
      <c r="L37" s="200"/>
      <c r="M37" s="200"/>
      <c r="N37" s="200"/>
      <c r="O37" s="200"/>
      <c r="P37" s="200"/>
      <c r="Q37" s="200"/>
      <c r="R37" s="200"/>
      <c r="S37" s="200"/>
      <c r="T37" s="200"/>
      <c r="Y37" t="s">
        <v>163</v>
      </c>
      <c r="AH37">
        <v>58</v>
      </c>
      <c r="AI37">
        <v>0.65300000000000002</v>
      </c>
      <c r="AK37">
        <v>0.65300000000000002</v>
      </c>
      <c r="AV37">
        <v>57.75</v>
      </c>
      <c r="AW37">
        <v>0.626</v>
      </c>
    </row>
    <row r="38" spans="1:49" x14ac:dyDescent="0.25">
      <c r="A38" s="200"/>
      <c r="B38" s="200"/>
      <c r="C38" s="200"/>
      <c r="D38" s="200"/>
      <c r="E38" s="200"/>
      <c r="F38" s="200"/>
      <c r="G38" s="200"/>
      <c r="H38" s="200"/>
      <c r="I38" s="200"/>
      <c r="J38" s="200"/>
      <c r="K38" s="200"/>
      <c r="L38" s="200"/>
      <c r="M38" s="200"/>
      <c r="N38" s="200"/>
      <c r="O38" s="200"/>
      <c r="P38" s="200"/>
      <c r="Q38" s="200"/>
      <c r="R38" s="200"/>
      <c r="S38" s="200"/>
      <c r="T38" s="200"/>
      <c r="Y38">
        <f>LOOKUP(U36,AH1:AH241,AI1:AI241)</f>
        <v>1</v>
      </c>
      <c r="AA38" s="197">
        <f>AA35*Y38</f>
        <v>0</v>
      </c>
      <c r="AB38" t="s">
        <v>165</v>
      </c>
      <c r="AH38">
        <v>58.083333333333336</v>
      </c>
      <c r="AI38">
        <v>0.65500000000000003</v>
      </c>
      <c r="AK38">
        <v>0.65500000000000003</v>
      </c>
      <c r="AV38">
        <v>57.833333333333336</v>
      </c>
      <c r="AW38">
        <v>0.628</v>
      </c>
    </row>
    <row r="39" spans="1:49" x14ac:dyDescent="0.25">
      <c r="A39" s="200" t="s">
        <v>98</v>
      </c>
      <c r="B39" s="200"/>
      <c r="C39" s="200"/>
      <c r="D39" s="200"/>
      <c r="E39" s="200"/>
      <c r="F39" s="200"/>
      <c r="G39" s="200"/>
      <c r="H39" s="200"/>
      <c r="I39" s="200"/>
      <c r="J39" s="200"/>
      <c r="K39" s="200"/>
      <c r="L39" s="200"/>
      <c r="M39" s="200"/>
      <c r="N39" s="200"/>
      <c r="O39" s="200"/>
      <c r="P39" s="200"/>
      <c r="Q39" s="200"/>
      <c r="R39" s="200"/>
      <c r="S39" s="200"/>
      <c r="T39" s="200"/>
      <c r="AH39">
        <v>58.166666666666664</v>
      </c>
      <c r="AI39">
        <v>0.65800000000000003</v>
      </c>
      <c r="AK39">
        <v>0.65800000000000003</v>
      </c>
      <c r="AV39">
        <v>57.916666666666664</v>
      </c>
      <c r="AW39">
        <v>0.63100000000000001</v>
      </c>
    </row>
    <row r="40" spans="1:49" x14ac:dyDescent="0.25">
      <c r="A40" s="200"/>
      <c r="B40" s="200"/>
      <c r="C40" s="200"/>
      <c r="D40" s="200"/>
      <c r="E40" s="200"/>
      <c r="F40" s="200"/>
      <c r="G40" s="200"/>
      <c r="H40" s="200"/>
      <c r="I40" s="200"/>
      <c r="J40" s="200"/>
      <c r="K40" s="200"/>
      <c r="L40" s="200"/>
      <c r="M40" s="200"/>
      <c r="N40" s="200"/>
      <c r="O40" s="200"/>
      <c r="P40" s="200"/>
      <c r="Q40" s="200"/>
      <c r="R40" s="200"/>
      <c r="S40" s="200"/>
      <c r="T40" s="200"/>
      <c r="AH40">
        <v>58.25</v>
      </c>
      <c r="AI40">
        <v>0.66</v>
      </c>
      <c r="AK40">
        <v>0.66</v>
      </c>
      <c r="AV40">
        <v>58</v>
      </c>
      <c r="AW40">
        <v>0.63300000000000001</v>
      </c>
    </row>
    <row r="41" spans="1:49" x14ac:dyDescent="0.25">
      <c r="A41" s="200"/>
      <c r="B41" s="200"/>
      <c r="C41" s="200"/>
      <c r="D41" s="200"/>
      <c r="E41" s="200"/>
      <c r="F41" s="200"/>
      <c r="G41" s="200"/>
      <c r="H41" s="200"/>
      <c r="I41" s="200"/>
      <c r="J41" s="200"/>
      <c r="K41" s="200"/>
      <c r="L41" s="200"/>
      <c r="M41" s="200"/>
      <c r="N41" s="200"/>
      <c r="O41" s="200"/>
      <c r="P41" s="200"/>
      <c r="Q41" s="200"/>
      <c r="R41" s="200"/>
      <c r="S41" s="200"/>
      <c r="T41" s="200"/>
      <c r="AH41">
        <v>58.333333333333336</v>
      </c>
      <c r="AI41">
        <v>0.66200000000000003</v>
      </c>
      <c r="AK41">
        <v>0.66200000000000003</v>
      </c>
      <c r="AV41">
        <v>58.083333333333336</v>
      </c>
      <c r="AW41">
        <v>0.63600000000000001</v>
      </c>
    </row>
    <row r="42" spans="1:49" x14ac:dyDescent="0.25">
      <c r="A42" s="200" t="s">
        <v>99</v>
      </c>
      <c r="B42" s="200"/>
      <c r="C42" s="200"/>
      <c r="D42" s="200"/>
      <c r="E42" s="200"/>
      <c r="F42" s="200"/>
      <c r="G42" s="200"/>
      <c r="H42" s="200"/>
      <c r="I42" s="200"/>
      <c r="J42" s="200"/>
      <c r="K42" s="200"/>
      <c r="L42" s="200"/>
      <c r="M42" s="200"/>
      <c r="N42" s="200"/>
      <c r="O42" s="200"/>
      <c r="P42" s="200"/>
      <c r="Q42" s="200"/>
      <c r="R42" s="200"/>
      <c r="S42" s="200"/>
      <c r="T42" s="200"/>
      <c r="AH42">
        <v>58.416666666666664</v>
      </c>
      <c r="AI42">
        <v>0.66500000000000004</v>
      </c>
      <c r="AK42">
        <v>0.66500000000000004</v>
      </c>
      <c r="AV42">
        <v>58.166666666666664</v>
      </c>
      <c r="AW42">
        <v>0.63800000000000001</v>
      </c>
    </row>
    <row r="43" spans="1:49" x14ac:dyDescent="0.25">
      <c r="A43" s="200"/>
      <c r="B43" s="200"/>
      <c r="C43" s="200"/>
      <c r="D43" s="200"/>
      <c r="E43" s="200"/>
      <c r="F43" s="200"/>
      <c r="G43" s="200"/>
      <c r="H43" s="200"/>
      <c r="I43" s="200"/>
      <c r="J43" s="200"/>
      <c r="K43" s="200"/>
      <c r="L43" s="200"/>
      <c r="M43" s="200"/>
      <c r="N43" s="200"/>
      <c r="O43" s="200"/>
      <c r="P43" s="200"/>
      <c r="Q43" s="200"/>
      <c r="R43" s="200"/>
      <c r="S43" s="200"/>
      <c r="T43" s="200"/>
      <c r="AH43">
        <v>58.5</v>
      </c>
      <c r="AI43">
        <v>0.66700000000000004</v>
      </c>
      <c r="AK43">
        <v>0.66700000000000004</v>
      </c>
      <c r="AV43">
        <v>58.25</v>
      </c>
      <c r="AW43">
        <v>0.64100000000000001</v>
      </c>
    </row>
    <row r="44" spans="1:49" x14ac:dyDescent="0.25">
      <c r="A44" s="200" t="s">
        <v>100</v>
      </c>
      <c r="B44" s="200"/>
      <c r="C44" s="200"/>
      <c r="D44" s="200"/>
      <c r="E44" s="200"/>
      <c r="F44" s="200"/>
      <c r="G44" s="200"/>
      <c r="H44" s="200"/>
      <c r="I44" s="200"/>
      <c r="J44" s="200"/>
      <c r="K44" s="200"/>
      <c r="L44" s="200"/>
      <c r="M44" s="200"/>
      <c r="N44" s="200"/>
      <c r="O44" s="200"/>
      <c r="P44" s="200"/>
      <c r="Q44" s="200"/>
      <c r="R44" s="200"/>
      <c r="S44" s="200"/>
      <c r="T44" s="200"/>
      <c r="AH44">
        <v>58.583333333333336</v>
      </c>
      <c r="AI44">
        <v>0.66900000000000004</v>
      </c>
      <c r="AK44">
        <v>0.66900000000000004</v>
      </c>
      <c r="AV44">
        <v>58.333333333333336</v>
      </c>
      <c r="AW44">
        <v>0.64300000000000002</v>
      </c>
    </row>
    <row r="45" spans="1:49" x14ac:dyDescent="0.25">
      <c r="A45" s="200"/>
      <c r="B45" s="200" t="s">
        <v>101</v>
      </c>
      <c r="C45" s="200"/>
      <c r="D45" s="200"/>
      <c r="E45" s="200"/>
      <c r="F45" s="200" t="s">
        <v>102</v>
      </c>
      <c r="G45" s="200"/>
      <c r="H45" s="200"/>
      <c r="I45" s="200"/>
      <c r="J45" s="200"/>
      <c r="K45" s="200" t="s">
        <v>103</v>
      </c>
      <c r="L45" s="200"/>
      <c r="M45" s="200"/>
      <c r="N45" s="200"/>
      <c r="O45" s="200"/>
      <c r="P45" s="200"/>
      <c r="Q45" s="200"/>
      <c r="R45" s="200"/>
      <c r="S45" s="200"/>
      <c r="T45" s="200"/>
      <c r="AH45">
        <v>58.666666666666664</v>
      </c>
      <c r="AI45">
        <v>0.67200000000000004</v>
      </c>
      <c r="AK45">
        <v>0.67200000000000004</v>
      </c>
      <c r="AV45">
        <v>58.416666666666664</v>
      </c>
      <c r="AW45">
        <v>0.64600000000000002</v>
      </c>
    </row>
    <row r="46" spans="1:49" x14ac:dyDescent="0.25">
      <c r="A46" s="200"/>
      <c r="B46" s="200"/>
      <c r="C46" s="200"/>
      <c r="D46" s="200"/>
      <c r="E46" s="200"/>
      <c r="F46" s="200"/>
      <c r="G46" s="200"/>
      <c r="H46" s="200"/>
      <c r="I46" s="200"/>
      <c r="J46" s="200"/>
      <c r="K46" s="200"/>
      <c r="L46" s="200"/>
      <c r="M46" s="200"/>
      <c r="N46" s="200"/>
      <c r="O46" s="200"/>
      <c r="P46" s="200"/>
      <c r="Q46" s="200"/>
      <c r="R46" s="200"/>
      <c r="S46" s="200"/>
      <c r="T46" s="200"/>
      <c r="AH46">
        <v>58.75</v>
      </c>
      <c r="AI46">
        <v>0.67400000000000004</v>
      </c>
      <c r="AK46">
        <v>0.67400000000000004</v>
      </c>
      <c r="AV46">
        <v>58.5</v>
      </c>
      <c r="AW46">
        <v>0.64800000000000002</v>
      </c>
    </row>
    <row r="47" spans="1:49" x14ac:dyDescent="0.25">
      <c r="A47" s="200"/>
      <c r="B47" s="200" t="s">
        <v>104</v>
      </c>
      <c r="C47" s="200"/>
      <c r="D47" s="201">
        <f>'1995-2015 Calculator (67)'!E41</f>
        <v>0</v>
      </c>
      <c r="E47" s="200"/>
      <c r="F47" s="200" t="s">
        <v>104</v>
      </c>
      <c r="G47" s="200"/>
      <c r="H47" s="201">
        <f>AA38</f>
        <v>0</v>
      </c>
      <c r="I47" s="200"/>
      <c r="J47" s="200"/>
      <c r="K47" s="200" t="s">
        <v>104</v>
      </c>
      <c r="L47" s="200"/>
      <c r="M47" s="201">
        <f>D47+H47</f>
        <v>0</v>
      </c>
      <c r="N47" s="200"/>
      <c r="O47" s="200"/>
      <c r="P47" s="200"/>
      <c r="Q47" s="200"/>
      <c r="R47" s="200"/>
      <c r="S47" s="200"/>
      <c r="T47" s="200"/>
      <c r="AH47">
        <v>58.833333333333336</v>
      </c>
      <c r="AI47">
        <v>0.67600000000000005</v>
      </c>
      <c r="AK47">
        <v>0.67600000000000005</v>
      </c>
      <c r="AV47">
        <v>58.583333333333336</v>
      </c>
      <c r="AW47">
        <v>0.65100000000000002</v>
      </c>
    </row>
    <row r="48" spans="1:49" x14ac:dyDescent="0.25">
      <c r="A48" s="200"/>
      <c r="B48" s="200"/>
      <c r="C48" s="200"/>
      <c r="D48" s="201"/>
      <c r="E48" s="200"/>
      <c r="F48" s="200"/>
      <c r="G48" s="200"/>
      <c r="H48" s="200"/>
      <c r="I48" s="200"/>
      <c r="J48" s="200"/>
      <c r="K48" s="200"/>
      <c r="L48" s="200"/>
      <c r="M48" s="201"/>
      <c r="N48" s="200"/>
      <c r="O48" s="200"/>
      <c r="P48" s="200"/>
      <c r="Q48" s="200"/>
      <c r="R48" s="200"/>
      <c r="S48" s="200"/>
      <c r="T48" s="200"/>
      <c r="AH48">
        <v>58.916666666666664</v>
      </c>
      <c r="AI48">
        <v>0.67900000000000005</v>
      </c>
      <c r="AK48">
        <v>0.67900000000000005</v>
      </c>
      <c r="AV48">
        <v>58.666666666666664</v>
      </c>
      <c r="AW48">
        <v>0.65300000000000002</v>
      </c>
    </row>
    <row r="49" spans="1:49" x14ac:dyDescent="0.25">
      <c r="A49" s="200"/>
      <c r="B49" s="200" t="s">
        <v>105</v>
      </c>
      <c r="C49" s="200"/>
      <c r="D49" s="201">
        <f>'1995-2015 Calculator (67)'!E43</f>
        <v>0</v>
      </c>
      <c r="E49" s="200"/>
      <c r="F49" s="200"/>
      <c r="G49" s="200"/>
      <c r="H49" s="200"/>
      <c r="I49" s="200"/>
      <c r="J49" s="200"/>
      <c r="K49" s="200" t="s">
        <v>105</v>
      </c>
      <c r="L49" s="200"/>
      <c r="M49" s="201">
        <f>D49</f>
        <v>0</v>
      </c>
      <c r="N49" s="200"/>
      <c r="O49" s="200"/>
      <c r="P49" s="200"/>
      <c r="Q49" s="200"/>
      <c r="R49" s="200"/>
      <c r="S49" s="200"/>
      <c r="T49" s="200"/>
      <c r="AH49">
        <v>59</v>
      </c>
      <c r="AI49">
        <v>0.68100000000000005</v>
      </c>
      <c r="AK49">
        <v>0.68100000000000005</v>
      </c>
      <c r="AV49">
        <v>58.75</v>
      </c>
      <c r="AW49">
        <v>0.65600000000000003</v>
      </c>
    </row>
    <row r="50" spans="1:49" x14ac:dyDescent="0.25">
      <c r="A50" s="200"/>
      <c r="B50" s="200"/>
      <c r="C50" s="200"/>
      <c r="D50" s="200"/>
      <c r="E50" s="200"/>
      <c r="F50" s="200"/>
      <c r="G50" s="200"/>
      <c r="H50" s="200"/>
      <c r="I50" s="200"/>
      <c r="J50" s="200"/>
      <c r="K50" s="200"/>
      <c r="L50" s="200"/>
      <c r="M50" s="200"/>
      <c r="N50" s="200"/>
      <c r="O50" s="200"/>
      <c r="P50" s="200"/>
      <c r="Q50" s="200"/>
      <c r="R50" s="200"/>
      <c r="S50" s="200"/>
      <c r="T50" s="200"/>
      <c r="AH50">
        <v>59.083333333333336</v>
      </c>
      <c r="AI50">
        <v>0.68300000000000005</v>
      </c>
      <c r="AK50">
        <v>0.68300000000000005</v>
      </c>
      <c r="AV50">
        <v>58.833333333333336</v>
      </c>
      <c r="AW50">
        <v>0.65800000000000003</v>
      </c>
    </row>
    <row r="51" spans="1:49" x14ac:dyDescent="0.25">
      <c r="A51" s="200"/>
      <c r="B51" s="200"/>
      <c r="C51" s="200"/>
      <c r="D51" s="200"/>
      <c r="E51" s="200"/>
      <c r="F51" s="200"/>
      <c r="G51" s="200"/>
      <c r="H51" s="200"/>
      <c r="I51" s="200"/>
      <c r="J51" s="200"/>
      <c r="K51" s="200"/>
      <c r="L51" s="200"/>
      <c r="M51" s="200"/>
      <c r="N51" s="200"/>
      <c r="O51" s="200"/>
      <c r="P51" s="200"/>
      <c r="Q51" s="200"/>
      <c r="R51" s="200"/>
      <c r="S51" s="200"/>
      <c r="T51" s="200"/>
      <c r="AH51">
        <v>59.166666666666664</v>
      </c>
      <c r="AI51">
        <v>0.68600000000000005</v>
      </c>
      <c r="AK51">
        <v>0.68600000000000005</v>
      </c>
      <c r="AV51">
        <v>58.916666666666664</v>
      </c>
      <c r="AW51">
        <v>0.66100000000000003</v>
      </c>
    </row>
    <row r="52" spans="1:49" x14ac:dyDescent="0.25">
      <c r="A52" s="200" t="s">
        <v>107</v>
      </c>
      <c r="B52" s="200"/>
      <c r="C52" s="200"/>
      <c r="D52" s="200"/>
      <c r="E52" s="200"/>
      <c r="F52" s="200"/>
      <c r="G52" s="200"/>
      <c r="H52" s="200"/>
      <c r="I52" s="200"/>
      <c r="J52" s="200"/>
      <c r="K52" s="200"/>
      <c r="L52" s="200"/>
      <c r="M52" s="200"/>
      <c r="N52" s="200"/>
      <c r="O52" s="200"/>
      <c r="P52" s="200"/>
      <c r="Q52" s="200"/>
      <c r="R52" s="200"/>
      <c r="S52" s="200"/>
      <c r="T52" s="200"/>
      <c r="AH52">
        <v>59.25</v>
      </c>
      <c r="AI52">
        <v>0.68799999999999994</v>
      </c>
      <c r="AK52">
        <v>0.68799999999999994</v>
      </c>
      <c r="AV52">
        <v>59</v>
      </c>
      <c r="AW52">
        <v>0.66300000000000003</v>
      </c>
    </row>
    <row r="53" spans="1:49" x14ac:dyDescent="0.25">
      <c r="A53" s="200"/>
      <c r="B53" s="200"/>
      <c r="C53" s="200"/>
      <c r="D53" s="200"/>
      <c r="E53" s="200"/>
      <c r="F53" s="200"/>
      <c r="G53" s="200"/>
      <c r="H53" s="200"/>
      <c r="I53" s="200"/>
      <c r="J53" s="200"/>
      <c r="K53" s="200"/>
      <c r="L53" s="200"/>
      <c r="M53" s="200"/>
      <c r="N53" s="200"/>
      <c r="O53" s="200"/>
      <c r="P53" s="200"/>
      <c r="Q53" s="200"/>
      <c r="R53" s="200"/>
      <c r="S53" s="200"/>
      <c r="T53" s="200"/>
      <c r="AH53">
        <v>59.333333333333336</v>
      </c>
      <c r="AI53">
        <v>0.69099999999999995</v>
      </c>
      <c r="AK53">
        <v>0.69099999999999995</v>
      </c>
      <c r="AV53">
        <v>59.083333333333336</v>
      </c>
      <c r="AW53">
        <v>0.66600000000000004</v>
      </c>
    </row>
    <row r="54" spans="1:49" x14ac:dyDescent="0.25">
      <c r="A54" s="200"/>
      <c r="B54" s="200" t="s">
        <v>101</v>
      </c>
      <c r="C54" s="200"/>
      <c r="D54" s="200"/>
      <c r="E54" s="200"/>
      <c r="F54" s="200" t="s">
        <v>102</v>
      </c>
      <c r="G54" s="200"/>
      <c r="H54" s="200"/>
      <c r="I54" s="200"/>
      <c r="J54" s="200"/>
      <c r="K54" s="200" t="s">
        <v>103</v>
      </c>
      <c r="L54" s="200"/>
      <c r="M54" s="200"/>
      <c r="N54" s="200"/>
      <c r="O54" s="200"/>
      <c r="P54" s="200"/>
      <c r="Q54" s="200"/>
      <c r="R54" s="200"/>
      <c r="S54" s="200"/>
      <c r="T54" s="200"/>
      <c r="AH54">
        <v>59.416666666666664</v>
      </c>
      <c r="AI54">
        <v>0.69299999999999995</v>
      </c>
      <c r="AK54">
        <v>0.69299999999999995</v>
      </c>
      <c r="AV54">
        <v>59.166666666666664</v>
      </c>
      <c r="AW54">
        <v>0.66800000000000004</v>
      </c>
    </row>
    <row r="55" spans="1:49" x14ac:dyDescent="0.25">
      <c r="A55" s="200"/>
      <c r="B55" s="200"/>
      <c r="C55" s="200"/>
      <c r="D55" s="200"/>
      <c r="E55" s="200"/>
      <c r="F55" s="200"/>
      <c r="G55" s="200"/>
      <c r="H55" s="200"/>
      <c r="I55" s="200"/>
      <c r="J55" s="200"/>
      <c r="K55" s="200"/>
      <c r="L55" s="200"/>
      <c r="M55" s="200"/>
      <c r="N55" s="200"/>
      <c r="O55" s="200"/>
      <c r="P55" s="200"/>
      <c r="Q55" s="200"/>
      <c r="R55" s="200"/>
      <c r="S55" s="200"/>
      <c r="T55" s="200"/>
      <c r="AH55">
        <v>59.5</v>
      </c>
      <c r="AI55">
        <v>0.69599999999999995</v>
      </c>
      <c r="AK55">
        <v>0.69599999999999995</v>
      </c>
      <c r="AV55">
        <v>59.25</v>
      </c>
      <c r="AW55">
        <v>0.67100000000000004</v>
      </c>
    </row>
    <row r="56" spans="1:49" x14ac:dyDescent="0.25">
      <c r="A56" s="200"/>
      <c r="B56" s="200" t="s">
        <v>104</v>
      </c>
      <c r="C56" s="200"/>
      <c r="D56" s="201">
        <f>'1995-2015 Calculator (67)'!E53</f>
        <v>0</v>
      </c>
      <c r="E56" s="200"/>
      <c r="F56" s="200" t="s">
        <v>104</v>
      </c>
      <c r="G56" s="200"/>
      <c r="H56" s="201">
        <f>U61</f>
        <v>0</v>
      </c>
      <c r="I56" s="200"/>
      <c r="J56" s="200"/>
      <c r="K56" s="200" t="s">
        <v>104</v>
      </c>
      <c r="L56" s="200"/>
      <c r="M56" s="201">
        <f>D56+H56</f>
        <v>0</v>
      </c>
      <c r="N56" s="200"/>
      <c r="O56" s="200"/>
      <c r="P56" s="200"/>
      <c r="Q56" s="200"/>
      <c r="R56" s="200"/>
      <c r="S56" s="200"/>
      <c r="T56" s="200"/>
      <c r="AH56">
        <v>59.583333333333336</v>
      </c>
      <c r="AI56">
        <v>0.69799999999999995</v>
      </c>
      <c r="AK56">
        <v>0.69799999999999995</v>
      </c>
      <c r="AV56">
        <v>59.333333333333336</v>
      </c>
      <c r="AW56">
        <v>0.67400000000000004</v>
      </c>
    </row>
    <row r="57" spans="1:49" x14ac:dyDescent="0.25">
      <c r="A57" s="200"/>
      <c r="B57" s="200"/>
      <c r="C57" s="200"/>
      <c r="D57" s="201"/>
      <c r="E57" s="200"/>
      <c r="F57" s="200"/>
      <c r="G57" s="200"/>
      <c r="H57" s="203"/>
      <c r="I57" s="200"/>
      <c r="J57" s="200"/>
      <c r="K57" s="200"/>
      <c r="L57" s="200"/>
      <c r="M57" s="201"/>
      <c r="N57" s="200"/>
      <c r="O57" s="200"/>
      <c r="P57" s="200"/>
      <c r="Q57" s="200"/>
      <c r="R57" s="200"/>
      <c r="S57" s="200"/>
      <c r="T57" s="200"/>
      <c r="AH57">
        <v>59.666666666666664</v>
      </c>
      <c r="AI57">
        <v>0.70099999999999996</v>
      </c>
      <c r="AK57">
        <v>0.70099999999999996</v>
      </c>
      <c r="AV57">
        <v>59.416666666666664</v>
      </c>
      <c r="AW57">
        <v>0.67600000000000005</v>
      </c>
    </row>
    <row r="58" spans="1:49" x14ac:dyDescent="0.25">
      <c r="A58" s="200"/>
      <c r="B58" s="200" t="s">
        <v>105</v>
      </c>
      <c r="C58" s="200"/>
      <c r="D58" s="201">
        <f>'1995-2015 Calculator (67)'!E55</f>
        <v>0</v>
      </c>
      <c r="E58" s="200"/>
      <c r="F58" s="200" t="s">
        <v>105</v>
      </c>
      <c r="G58" s="200"/>
      <c r="H58" s="201">
        <f>U60</f>
        <v>0</v>
      </c>
      <c r="I58" s="200"/>
      <c r="J58" s="200"/>
      <c r="K58" s="200" t="s">
        <v>105</v>
      </c>
      <c r="L58" s="200"/>
      <c r="M58" s="201">
        <f>D58+H58</f>
        <v>0</v>
      </c>
      <c r="N58" s="200"/>
      <c r="O58" s="200"/>
      <c r="P58" s="200"/>
      <c r="Q58" s="200"/>
      <c r="R58" s="200"/>
      <c r="S58" s="200"/>
      <c r="T58" s="200"/>
      <c r="AH58">
        <v>59.75</v>
      </c>
      <c r="AI58">
        <v>0.70299999999999996</v>
      </c>
      <c r="AK58">
        <v>0.70299999999999996</v>
      </c>
      <c r="AV58">
        <v>59.5</v>
      </c>
      <c r="AW58">
        <v>0.67900000000000005</v>
      </c>
    </row>
    <row r="59" spans="1:49" x14ac:dyDescent="0.25">
      <c r="A59" s="200"/>
      <c r="B59" s="200"/>
      <c r="C59" s="200"/>
      <c r="D59" s="200"/>
      <c r="E59" s="200"/>
      <c r="F59" s="200"/>
      <c r="G59" s="200"/>
      <c r="H59" s="200"/>
      <c r="I59" s="200"/>
      <c r="J59" s="200"/>
      <c r="K59" s="200"/>
      <c r="L59" s="200"/>
      <c r="M59" s="200"/>
      <c r="N59" s="200"/>
      <c r="O59" s="200"/>
      <c r="P59" s="200"/>
      <c r="Q59" s="200"/>
      <c r="R59" s="200"/>
      <c r="S59" s="200"/>
      <c r="T59" s="200"/>
      <c r="U59">
        <f>ROUNDDOWN(H47*(20/4.666)/12,0)</f>
        <v>0</v>
      </c>
      <c r="AH59">
        <v>59.833333333333336</v>
      </c>
      <c r="AI59">
        <v>0.70599999999999996</v>
      </c>
      <c r="AK59">
        <v>0.70599999999999996</v>
      </c>
      <c r="AV59">
        <v>59.583333333333336</v>
      </c>
      <c r="AW59">
        <v>0.68200000000000005</v>
      </c>
    </row>
    <row r="60" spans="1:49" x14ac:dyDescent="0.25">
      <c r="A60" s="199"/>
      <c r="B60" s="199"/>
      <c r="C60" s="199"/>
      <c r="D60" s="199"/>
      <c r="E60" s="199"/>
      <c r="F60" s="199"/>
      <c r="G60" s="199"/>
      <c r="H60" s="199"/>
      <c r="I60" s="199"/>
      <c r="J60" s="199"/>
      <c r="K60" s="199"/>
      <c r="L60" s="199"/>
      <c r="M60" s="199"/>
      <c r="N60" s="199"/>
      <c r="O60" s="199"/>
      <c r="P60" s="200"/>
      <c r="Q60" s="200"/>
      <c r="R60" s="200"/>
      <c r="S60" s="200"/>
      <c r="T60" s="200"/>
      <c r="U60">
        <f>ROUNDDOWN(U59,0)*12</f>
        <v>0</v>
      </c>
      <c r="AH60">
        <v>59.916666666666664</v>
      </c>
      <c r="AI60">
        <v>0.70799999999999996</v>
      </c>
      <c r="AK60">
        <v>0.70799999999999996</v>
      </c>
      <c r="AV60">
        <v>59.666666666666664</v>
      </c>
      <c r="AW60">
        <v>0.68500000000000005</v>
      </c>
    </row>
    <row r="61" spans="1:49" x14ac:dyDescent="0.25">
      <c r="A61" s="199"/>
      <c r="B61" s="199"/>
      <c r="C61" s="199"/>
      <c r="D61" s="199"/>
      <c r="E61" s="199"/>
      <c r="F61" s="199"/>
      <c r="G61" s="199"/>
      <c r="H61" s="199"/>
      <c r="I61" s="199"/>
      <c r="J61" s="199"/>
      <c r="K61" s="199"/>
      <c r="L61" s="199"/>
      <c r="M61" s="199"/>
      <c r="N61" s="199"/>
      <c r="O61" s="199"/>
      <c r="P61" s="200"/>
      <c r="Q61" s="200"/>
      <c r="R61" s="200"/>
      <c r="S61" s="200"/>
      <c r="T61" s="200"/>
      <c r="U61" s="197">
        <f>H47-U59</f>
        <v>0</v>
      </c>
      <c r="AH61">
        <v>60</v>
      </c>
      <c r="AI61">
        <v>0.71099999999999997</v>
      </c>
      <c r="AK61">
        <v>0.71099999999999997</v>
      </c>
      <c r="AV61">
        <v>59.75</v>
      </c>
      <c r="AW61">
        <v>0.68700000000000006</v>
      </c>
    </row>
    <row r="62" spans="1:49" x14ac:dyDescent="0.25">
      <c r="A62" s="200" t="s">
        <v>108</v>
      </c>
      <c r="B62" s="200"/>
      <c r="C62" s="200"/>
      <c r="D62" s="200"/>
      <c r="E62" s="200"/>
      <c r="F62" s="200"/>
      <c r="G62" s="200"/>
      <c r="H62" s="200"/>
      <c r="I62" s="200"/>
      <c r="J62" s="200"/>
      <c r="K62" s="200"/>
      <c r="L62" s="200"/>
      <c r="M62" s="200"/>
      <c r="N62" s="200"/>
      <c r="O62" s="200"/>
      <c r="P62" s="200"/>
      <c r="Q62" s="200"/>
      <c r="R62" s="200"/>
      <c r="S62" s="200"/>
      <c r="T62" s="200"/>
      <c r="AH62">
        <v>60.083333333333336</v>
      </c>
      <c r="AI62">
        <v>0.71299999999999997</v>
      </c>
      <c r="AK62">
        <v>0.71299999999999997</v>
      </c>
      <c r="AV62">
        <v>59.833333333333336</v>
      </c>
      <c r="AW62">
        <v>0.69</v>
      </c>
    </row>
    <row r="63" spans="1:49" x14ac:dyDescent="0.25">
      <c r="A63" s="200"/>
      <c r="B63" s="200"/>
      <c r="C63" s="200"/>
      <c r="D63" s="200"/>
      <c r="E63" s="200"/>
      <c r="F63" s="200"/>
      <c r="G63" s="200"/>
      <c r="H63" s="200"/>
      <c r="I63" s="200"/>
      <c r="J63" s="200"/>
      <c r="K63" s="200"/>
      <c r="L63" s="200"/>
      <c r="M63" s="200"/>
      <c r="N63" s="200"/>
      <c r="O63" s="200"/>
      <c r="P63" s="200"/>
      <c r="Q63" s="200"/>
      <c r="R63" s="200"/>
      <c r="S63" s="200"/>
      <c r="T63" s="200"/>
      <c r="AH63">
        <v>60.166666666666664</v>
      </c>
      <c r="AI63">
        <v>0.71599999999999997</v>
      </c>
      <c r="AK63">
        <v>0.71599999999999997</v>
      </c>
      <c r="AV63">
        <v>59.916666666666664</v>
      </c>
      <c r="AW63">
        <v>0.69299999999999995</v>
      </c>
    </row>
    <row r="64" spans="1:49" x14ac:dyDescent="0.25">
      <c r="A64" s="200" t="s">
        <v>109</v>
      </c>
      <c r="B64" s="200"/>
      <c r="C64" s="200"/>
      <c r="D64" s="200"/>
      <c r="E64" s="200"/>
      <c r="F64" s="200"/>
      <c r="G64" s="200"/>
      <c r="H64" s="200"/>
      <c r="I64" s="200"/>
      <c r="J64" s="200"/>
      <c r="K64" s="200"/>
      <c r="L64" s="200"/>
      <c r="M64" s="200"/>
      <c r="N64" s="200"/>
      <c r="O64" s="200"/>
      <c r="P64" s="200"/>
      <c r="Q64" s="200"/>
      <c r="R64" s="200"/>
      <c r="S64" s="200"/>
      <c r="T64" s="200"/>
      <c r="AH64">
        <v>60.25</v>
      </c>
      <c r="AI64">
        <v>0.71899999999999997</v>
      </c>
      <c r="AK64">
        <v>0.71899999999999997</v>
      </c>
      <c r="AV64">
        <v>60</v>
      </c>
      <c r="AW64">
        <v>0.69499999999999995</v>
      </c>
    </row>
    <row r="65" spans="1:49" x14ac:dyDescent="0.25">
      <c r="A65" s="200" t="s">
        <v>110</v>
      </c>
      <c r="B65" s="200"/>
      <c r="C65" s="200"/>
      <c r="D65" s="200"/>
      <c r="E65" s="200"/>
      <c r="F65" s="200"/>
      <c r="G65" s="200"/>
      <c r="H65" s="200"/>
      <c r="I65" s="200"/>
      <c r="J65" s="200"/>
      <c r="K65" s="200"/>
      <c r="L65" s="200"/>
      <c r="M65" s="200"/>
      <c r="N65" s="200"/>
      <c r="O65" s="200"/>
      <c r="P65" s="200"/>
      <c r="Q65" s="200"/>
      <c r="R65" s="200"/>
      <c r="S65" s="200"/>
      <c r="T65" s="200"/>
      <c r="AH65">
        <v>60.333333333333336</v>
      </c>
      <c r="AI65">
        <v>0.72099999999999997</v>
      </c>
      <c r="AK65">
        <v>0.72099999999999997</v>
      </c>
      <c r="AV65">
        <v>60.083333333333336</v>
      </c>
      <c r="AW65">
        <v>0.69799999999999995</v>
      </c>
    </row>
    <row r="66" spans="1:49" x14ac:dyDescent="0.25">
      <c r="A66" s="200"/>
      <c r="B66" s="200"/>
      <c r="C66" s="200"/>
      <c r="D66" s="200"/>
      <c r="E66" s="200"/>
      <c r="F66" s="200"/>
      <c r="G66" s="200"/>
      <c r="H66" s="200"/>
      <c r="I66" s="200"/>
      <c r="J66" s="200"/>
      <c r="K66" s="200"/>
      <c r="L66" s="200"/>
      <c r="M66" s="200"/>
      <c r="N66" s="200"/>
      <c r="O66" s="200"/>
      <c r="P66" s="200"/>
      <c r="Q66" s="200"/>
      <c r="R66" s="200"/>
      <c r="S66" s="200"/>
      <c r="T66" s="200"/>
      <c r="AH66">
        <v>60.416666666666664</v>
      </c>
      <c r="AI66">
        <v>0.72399999999999998</v>
      </c>
      <c r="AK66">
        <v>0.72399999999999998</v>
      </c>
      <c r="AV66">
        <v>60.166666666666664</v>
      </c>
      <c r="AW66">
        <v>0.70099999999999996</v>
      </c>
    </row>
    <row r="67" spans="1:49" x14ac:dyDescent="0.25">
      <c r="A67" s="200"/>
      <c r="B67" s="200"/>
      <c r="C67" s="200"/>
      <c r="D67" s="200"/>
      <c r="E67" s="200"/>
      <c r="F67" s="200"/>
      <c r="G67" s="200"/>
      <c r="H67" s="200"/>
      <c r="I67" s="200"/>
      <c r="J67" s="200"/>
      <c r="K67" s="200"/>
      <c r="L67" s="200"/>
      <c r="M67" s="200"/>
      <c r="N67" s="200"/>
      <c r="O67" s="200"/>
      <c r="P67" s="200"/>
      <c r="Q67" s="200"/>
      <c r="R67" s="200"/>
      <c r="S67" s="200"/>
      <c r="T67" s="200"/>
      <c r="AH67">
        <v>60.5</v>
      </c>
      <c r="AI67">
        <v>0.72699999999999998</v>
      </c>
      <c r="AK67">
        <v>0.72699999999999998</v>
      </c>
      <c r="AV67">
        <v>60.25</v>
      </c>
      <c r="AW67">
        <v>0.70399999999999996</v>
      </c>
    </row>
    <row r="68" spans="1:49" x14ac:dyDescent="0.25">
      <c r="A68" s="200"/>
      <c r="B68" s="200" t="s">
        <v>171</v>
      </c>
      <c r="C68" s="200"/>
      <c r="D68" s="200"/>
      <c r="E68" s="200"/>
      <c r="F68" s="200" t="s">
        <v>101</v>
      </c>
      <c r="G68" s="200"/>
      <c r="H68" s="200" t="s">
        <v>102</v>
      </c>
      <c r="I68" s="200"/>
      <c r="J68" s="200"/>
      <c r="K68" s="200"/>
      <c r="L68" s="200"/>
      <c r="M68" s="200"/>
      <c r="N68" s="200"/>
      <c r="O68" s="200"/>
      <c r="P68" s="200"/>
      <c r="Q68" s="200"/>
      <c r="R68" s="200"/>
      <c r="S68" s="200"/>
      <c r="T68" s="200"/>
      <c r="AH68">
        <v>60.583333333333336</v>
      </c>
      <c r="AI68">
        <v>0.73</v>
      </c>
      <c r="AK68">
        <v>0.73</v>
      </c>
      <c r="AV68">
        <v>60.333333333333336</v>
      </c>
      <c r="AW68">
        <v>0.70699999999999996</v>
      </c>
    </row>
    <row r="69" spans="1:49" x14ac:dyDescent="0.25">
      <c r="A69" s="200"/>
      <c r="B69" s="200"/>
      <c r="C69" s="200"/>
      <c r="D69" s="200"/>
      <c r="E69" s="200"/>
      <c r="F69" s="201">
        <v>24000</v>
      </c>
      <c r="G69" s="201"/>
      <c r="H69" s="201">
        <v>600</v>
      </c>
      <c r="I69" s="200"/>
      <c r="J69" s="200"/>
      <c r="K69" s="200"/>
      <c r="L69" s="200"/>
      <c r="M69" s="200"/>
      <c r="N69" s="200"/>
      <c r="O69" s="200"/>
      <c r="P69" s="200"/>
      <c r="Q69" s="200"/>
      <c r="R69" s="200"/>
      <c r="S69" s="200"/>
      <c r="T69" s="200"/>
      <c r="AH69">
        <v>60.666666666666664</v>
      </c>
      <c r="AI69">
        <v>0.73199999999999998</v>
      </c>
      <c r="AK69">
        <v>0.73199999999999998</v>
      </c>
      <c r="AV69">
        <v>60.416666666666664</v>
      </c>
      <c r="AW69">
        <v>0.71</v>
      </c>
    </row>
    <row r="70" spans="1:49" x14ac:dyDescent="0.25">
      <c r="A70" s="200"/>
      <c r="B70" s="200"/>
      <c r="C70" s="200"/>
      <c r="D70" s="200"/>
      <c r="E70" s="200"/>
      <c r="F70" s="205" t="str">
        <f>IF(F69&gt;U77*12,"Exceeds Maximum",".")</f>
        <v>Exceeds Maximum</v>
      </c>
      <c r="G70" s="204"/>
      <c r="H70" s="204" t="str">
        <f>IF(H69&gt;U60,"Exceeds Maximum",".")</f>
        <v>Exceeds Maximum</v>
      </c>
      <c r="I70" s="200"/>
      <c r="J70" s="200"/>
      <c r="K70" s="200"/>
      <c r="L70" s="200"/>
      <c r="M70" s="200"/>
      <c r="N70" s="200"/>
      <c r="O70" s="200"/>
      <c r="P70" s="200"/>
      <c r="Q70" s="200"/>
      <c r="R70" s="200"/>
      <c r="S70" s="200"/>
      <c r="T70" s="200"/>
      <c r="AH70">
        <v>60.75</v>
      </c>
      <c r="AI70">
        <v>0.73499999999999999</v>
      </c>
      <c r="AK70">
        <v>0.73499999999999999</v>
      </c>
      <c r="AV70">
        <v>60.5</v>
      </c>
      <c r="AW70">
        <v>0.71299999999999997</v>
      </c>
    </row>
    <row r="71" spans="1:49" x14ac:dyDescent="0.25">
      <c r="A71" s="200"/>
      <c r="B71" s="200"/>
      <c r="C71" s="200"/>
      <c r="D71" s="200"/>
      <c r="E71" s="200"/>
      <c r="F71" s="200"/>
      <c r="G71" s="200"/>
      <c r="H71" s="200"/>
      <c r="I71" s="200"/>
      <c r="J71" s="200"/>
      <c r="K71" s="200"/>
      <c r="L71" s="200"/>
      <c r="M71" s="200"/>
      <c r="N71" s="200"/>
      <c r="O71" s="200"/>
      <c r="P71" s="200"/>
      <c r="Q71" s="200"/>
      <c r="R71" s="200"/>
      <c r="S71" s="200"/>
      <c r="T71" s="200"/>
      <c r="AH71">
        <v>60.833333333333336</v>
      </c>
      <c r="AI71">
        <v>0.73799999999999999</v>
      </c>
      <c r="AK71">
        <v>0.73799999999999999</v>
      </c>
      <c r="AV71">
        <v>60.583333333333336</v>
      </c>
      <c r="AW71">
        <v>0.71499999999999997</v>
      </c>
    </row>
    <row r="72" spans="1:49" x14ac:dyDescent="0.25">
      <c r="A72" s="200"/>
      <c r="B72" s="200" t="s">
        <v>101</v>
      </c>
      <c r="C72" s="200"/>
      <c r="D72" s="200"/>
      <c r="E72" s="200"/>
      <c r="F72" s="200" t="s">
        <v>102</v>
      </c>
      <c r="G72" s="200"/>
      <c r="H72" s="200"/>
      <c r="I72" s="200"/>
      <c r="J72" s="200"/>
      <c r="K72" s="200" t="s">
        <v>103</v>
      </c>
      <c r="L72" s="200"/>
      <c r="M72" s="200"/>
      <c r="N72" s="200"/>
      <c r="O72" s="200"/>
      <c r="P72" s="200"/>
      <c r="Q72" s="200"/>
      <c r="R72" s="200"/>
      <c r="S72" s="200"/>
      <c r="T72" s="200"/>
      <c r="AH72">
        <v>60.916666666666664</v>
      </c>
      <c r="AI72">
        <v>0.74</v>
      </c>
      <c r="AK72">
        <v>0.74</v>
      </c>
      <c r="AV72">
        <v>60.666666666666664</v>
      </c>
      <c r="AW72">
        <v>0.71799999999999997</v>
      </c>
    </row>
    <row r="73" spans="1:49" x14ac:dyDescent="0.25">
      <c r="A73" s="200"/>
      <c r="B73" s="200"/>
      <c r="C73" s="200"/>
      <c r="D73" s="200"/>
      <c r="E73" s="200"/>
      <c r="F73" s="200"/>
      <c r="G73" s="200"/>
      <c r="H73" s="200"/>
      <c r="I73" s="200"/>
      <c r="J73" s="200"/>
      <c r="K73" s="200"/>
      <c r="L73" s="200"/>
      <c r="M73" s="200"/>
      <c r="N73" s="200"/>
      <c r="O73" s="200"/>
      <c r="P73" s="200"/>
      <c r="Q73" s="200"/>
      <c r="R73" s="200"/>
      <c r="S73" s="200"/>
      <c r="T73" s="200"/>
      <c r="U73">
        <f>F69/12</f>
        <v>2000</v>
      </c>
      <c r="V73" t="s">
        <v>167</v>
      </c>
      <c r="AH73">
        <v>61</v>
      </c>
      <c r="AI73">
        <v>0.74299999999999999</v>
      </c>
      <c r="AK73">
        <v>0.74299999999999999</v>
      </c>
      <c r="AV73">
        <v>60.75</v>
      </c>
      <c r="AW73">
        <v>0.72099999999999997</v>
      </c>
    </row>
    <row r="74" spans="1:49" x14ac:dyDescent="0.25">
      <c r="A74" s="200"/>
      <c r="B74" s="200" t="s">
        <v>104</v>
      </c>
      <c r="C74" s="200"/>
      <c r="D74" s="201" t="str">
        <f>IF(F70=".",D47-U73,"Invalid")</f>
        <v>Invalid</v>
      </c>
      <c r="E74" s="200"/>
      <c r="F74" s="200" t="s">
        <v>104</v>
      </c>
      <c r="G74" s="200"/>
      <c r="H74" s="201" t="str">
        <f>IF(F70=".",H47-U74,"Invalid")</f>
        <v>Invalid</v>
      </c>
      <c r="I74" s="200"/>
      <c r="J74" s="200"/>
      <c r="K74" s="200" t="s">
        <v>104</v>
      </c>
      <c r="L74" s="200"/>
      <c r="M74" s="201" t="e">
        <f>D74+H74</f>
        <v>#VALUE!</v>
      </c>
      <c r="N74" s="200"/>
      <c r="O74" s="200"/>
      <c r="P74" s="200"/>
      <c r="Q74" s="200"/>
      <c r="R74" s="200"/>
      <c r="S74" s="200"/>
      <c r="T74" s="200"/>
      <c r="U74">
        <f>H69/12</f>
        <v>50</v>
      </c>
      <c r="V74" t="s">
        <v>168</v>
      </c>
      <c r="AH74">
        <v>61.083333333333336</v>
      </c>
      <c r="AI74">
        <v>0.746</v>
      </c>
      <c r="AK74">
        <v>0.746</v>
      </c>
      <c r="AV74">
        <v>60.833333333333336</v>
      </c>
      <c r="AW74">
        <v>0.72399999999999998</v>
      </c>
    </row>
    <row r="75" spans="1:49" x14ac:dyDescent="0.25">
      <c r="A75" s="200"/>
      <c r="B75" s="200"/>
      <c r="C75" s="200"/>
      <c r="D75" s="201"/>
      <c r="E75" s="200"/>
      <c r="F75" s="200"/>
      <c r="G75" s="200"/>
      <c r="H75" s="201"/>
      <c r="I75" s="200"/>
      <c r="J75" s="200"/>
      <c r="K75" s="200"/>
      <c r="L75" s="200"/>
      <c r="M75" s="201"/>
      <c r="N75" s="200"/>
      <c r="O75" s="200"/>
      <c r="P75" s="200"/>
      <c r="Q75" s="200"/>
      <c r="R75" s="200"/>
      <c r="S75" s="200"/>
      <c r="T75" s="200"/>
      <c r="AH75">
        <v>61.166666666666664</v>
      </c>
      <c r="AI75">
        <v>0.749</v>
      </c>
      <c r="AK75">
        <v>0.749</v>
      </c>
      <c r="AV75">
        <v>60.916666666666664</v>
      </c>
      <c r="AW75">
        <v>0.72699999999999998</v>
      </c>
    </row>
    <row r="76" spans="1:49" x14ac:dyDescent="0.25">
      <c r="A76" s="200"/>
      <c r="B76" s="200" t="s">
        <v>105</v>
      </c>
      <c r="C76" s="200"/>
      <c r="D76" s="201" t="str">
        <f>IF(F70=".",D49+(U73*12),"Invalid")</f>
        <v>Invalid</v>
      </c>
      <c r="E76" s="200"/>
      <c r="F76" s="200" t="s">
        <v>105</v>
      </c>
      <c r="G76" s="200"/>
      <c r="H76" s="201" t="str">
        <f>IF(H70=".",H69,"Invalid")</f>
        <v>Invalid</v>
      </c>
      <c r="I76" s="200"/>
      <c r="J76" s="200"/>
      <c r="K76" s="200" t="s">
        <v>105</v>
      </c>
      <c r="L76" s="200"/>
      <c r="M76" s="201" t="e">
        <f>D76+H76</f>
        <v>#VALUE!</v>
      </c>
      <c r="N76" s="200"/>
      <c r="O76" s="200"/>
      <c r="P76" s="200"/>
      <c r="Q76" s="200"/>
      <c r="R76" s="200"/>
      <c r="S76" s="200"/>
      <c r="T76" s="200"/>
      <c r="AH76">
        <v>61.25</v>
      </c>
      <c r="AI76">
        <v>0.752</v>
      </c>
      <c r="AK76">
        <v>0.752</v>
      </c>
      <c r="AV76">
        <v>61</v>
      </c>
      <c r="AW76">
        <v>0.73</v>
      </c>
    </row>
    <row r="77" spans="1:49" x14ac:dyDescent="0.25">
      <c r="A77" s="199"/>
      <c r="B77" s="199"/>
      <c r="C77" s="199"/>
      <c r="D77" s="199"/>
      <c r="E77" s="199"/>
      <c r="F77" s="199"/>
      <c r="G77" s="199"/>
      <c r="H77" s="199"/>
      <c r="I77" s="199"/>
      <c r="J77" s="199"/>
      <c r="K77" s="199"/>
      <c r="L77" s="199"/>
      <c r="M77" s="199"/>
      <c r="N77" s="199"/>
      <c r="O77" s="199"/>
      <c r="P77" s="200"/>
      <c r="Q77" s="200"/>
      <c r="R77" s="200"/>
      <c r="S77" s="200"/>
      <c r="T77" s="200"/>
      <c r="U77">
        <f>ROUNDDOWN(((D47*30/7)-(D49*9/14))/12,0)</f>
        <v>0</v>
      </c>
      <c r="V77" t="s">
        <v>166</v>
      </c>
      <c r="AH77">
        <v>61.333333333333336</v>
      </c>
      <c r="AI77">
        <v>0.754</v>
      </c>
      <c r="AK77">
        <v>0.754</v>
      </c>
      <c r="AV77">
        <v>61.083333333333336</v>
      </c>
      <c r="AW77">
        <v>0.73299999999999998</v>
      </c>
    </row>
    <row r="78" spans="1:49" x14ac:dyDescent="0.25">
      <c r="A78" s="199"/>
      <c r="B78" s="199"/>
      <c r="C78" s="199"/>
      <c r="D78" s="199"/>
      <c r="E78" s="199"/>
      <c r="F78" s="199"/>
      <c r="G78" s="199"/>
      <c r="H78" s="199"/>
      <c r="I78" s="199"/>
      <c r="J78" s="199"/>
      <c r="K78" s="199"/>
      <c r="L78" s="199"/>
      <c r="M78" s="199"/>
      <c r="N78" s="199"/>
      <c r="O78" s="199"/>
      <c r="P78" s="200"/>
      <c r="Q78" s="200"/>
      <c r="R78" s="200"/>
      <c r="S78" s="200"/>
      <c r="T78" s="200"/>
      <c r="AH78">
        <v>61.416666666666664</v>
      </c>
      <c r="AI78">
        <v>0.75700000000000001</v>
      </c>
      <c r="AK78">
        <v>0.75700000000000001</v>
      </c>
      <c r="AV78">
        <v>61.166666666666664</v>
      </c>
      <c r="AW78">
        <v>0.73599999999999999</v>
      </c>
    </row>
    <row r="79" spans="1:49" x14ac:dyDescent="0.25">
      <c r="A79" s="199"/>
      <c r="B79" s="199"/>
      <c r="C79" s="199"/>
      <c r="D79" s="199"/>
      <c r="E79" s="199"/>
      <c r="F79" s="199"/>
      <c r="G79" s="199"/>
      <c r="H79" s="199"/>
      <c r="I79" s="199"/>
      <c r="J79" s="199"/>
      <c r="K79" s="199"/>
      <c r="L79" s="199"/>
      <c r="M79" s="199"/>
      <c r="N79" s="199"/>
      <c r="O79" s="199"/>
      <c r="P79" s="200"/>
      <c r="Q79" s="200"/>
      <c r="R79" s="200"/>
      <c r="S79" s="200"/>
      <c r="T79" s="200"/>
      <c r="AH79">
        <v>61.5</v>
      </c>
      <c r="AI79">
        <v>0.76</v>
      </c>
      <c r="AK79">
        <v>0.76</v>
      </c>
      <c r="AV79">
        <v>61.25</v>
      </c>
      <c r="AW79">
        <v>0.73899999999999999</v>
      </c>
    </row>
    <row r="80" spans="1:49" x14ac:dyDescent="0.25">
      <c r="A80" s="199"/>
      <c r="B80" s="199"/>
      <c r="C80" s="199"/>
      <c r="D80" s="199"/>
      <c r="E80" s="199"/>
      <c r="F80" s="199"/>
      <c r="G80" s="199"/>
      <c r="H80" s="199"/>
      <c r="I80" s="199"/>
      <c r="J80" s="199"/>
      <c r="K80" s="199"/>
      <c r="L80" s="199"/>
      <c r="M80" s="199"/>
      <c r="N80" s="199"/>
      <c r="O80" s="199"/>
      <c r="P80" s="200"/>
      <c r="Q80" s="200"/>
      <c r="R80" s="200"/>
      <c r="S80" s="200"/>
      <c r="T80" s="200"/>
      <c r="AH80">
        <v>61.583333333333336</v>
      </c>
      <c r="AI80">
        <v>0.76300000000000001</v>
      </c>
      <c r="AK80">
        <v>0.76300000000000001</v>
      </c>
      <c r="AV80">
        <v>61.333333333333336</v>
      </c>
      <c r="AW80">
        <v>0.74199999999999999</v>
      </c>
    </row>
    <row r="81" spans="1:49" x14ac:dyDescent="0.25">
      <c r="A81" s="199"/>
      <c r="B81" s="199"/>
      <c r="C81" s="199"/>
      <c r="D81" s="199"/>
      <c r="E81" s="199"/>
      <c r="F81" s="199"/>
      <c r="G81" s="199"/>
      <c r="H81" s="199"/>
      <c r="I81" s="199"/>
      <c r="J81" s="199"/>
      <c r="K81" s="199"/>
      <c r="L81" s="199"/>
      <c r="M81" s="199"/>
      <c r="N81" s="199"/>
      <c r="O81" s="199"/>
      <c r="P81" s="200"/>
      <c r="Q81" s="200"/>
      <c r="R81" s="200"/>
      <c r="S81" s="200"/>
      <c r="T81" s="200"/>
      <c r="AH81">
        <v>61.666666666666664</v>
      </c>
      <c r="AI81">
        <v>0.76600000000000001</v>
      </c>
      <c r="AK81">
        <v>0.76600000000000001</v>
      </c>
      <c r="AV81">
        <v>61.416666666666664</v>
      </c>
      <c r="AW81">
        <v>0.745</v>
      </c>
    </row>
    <row r="82" spans="1:49" x14ac:dyDescent="0.25">
      <c r="A82" s="200"/>
      <c r="B82" s="200"/>
      <c r="C82" s="200"/>
      <c r="D82" s="200"/>
      <c r="E82" s="200"/>
      <c r="F82" s="200"/>
      <c r="G82" s="200"/>
      <c r="H82" s="200"/>
      <c r="I82" s="200"/>
      <c r="J82" s="200"/>
      <c r="K82" s="200"/>
      <c r="L82" s="200"/>
      <c r="M82" s="200"/>
      <c r="N82" s="200"/>
      <c r="O82" s="200"/>
      <c r="P82" s="200"/>
      <c r="Q82" s="200"/>
      <c r="R82" s="200"/>
      <c r="S82" s="200"/>
      <c r="T82" s="200"/>
      <c r="AH82">
        <v>61.75</v>
      </c>
      <c r="AI82">
        <v>0.76900000000000002</v>
      </c>
      <c r="AK82">
        <v>0.76900000000000002</v>
      </c>
      <c r="AV82">
        <v>61.5</v>
      </c>
      <c r="AW82">
        <v>0.748</v>
      </c>
    </row>
    <row r="83" spans="1:49" x14ac:dyDescent="0.25">
      <c r="A83" s="200"/>
      <c r="B83" s="200"/>
      <c r="C83" s="200"/>
      <c r="D83" s="200"/>
      <c r="E83" s="200"/>
      <c r="F83" s="200"/>
      <c r="G83" s="200"/>
      <c r="H83" s="200"/>
      <c r="I83" s="200"/>
      <c r="J83" s="200"/>
      <c r="K83" s="200"/>
      <c r="L83" s="200"/>
      <c r="M83" s="200"/>
      <c r="N83" s="200"/>
      <c r="O83" s="200"/>
      <c r="P83" s="200"/>
      <c r="Q83" s="200"/>
      <c r="R83" s="200"/>
      <c r="S83" s="200"/>
      <c r="T83" s="200"/>
      <c r="AH83">
        <v>61.833333333333336</v>
      </c>
      <c r="AI83">
        <v>0.77200000000000002</v>
      </c>
      <c r="AK83">
        <v>0.77200000000000002</v>
      </c>
      <c r="AV83">
        <v>61.583333333333336</v>
      </c>
      <c r="AW83">
        <v>0.751</v>
      </c>
    </row>
    <row r="84" spans="1:49" x14ac:dyDescent="0.25">
      <c r="A84" s="200"/>
      <c r="B84" s="200"/>
      <c r="C84" s="200"/>
      <c r="D84" s="200"/>
      <c r="E84" s="200"/>
      <c r="F84" s="200"/>
      <c r="G84" s="200"/>
      <c r="H84" s="200"/>
      <c r="I84" s="200"/>
      <c r="J84" s="200"/>
      <c r="K84" s="200"/>
      <c r="L84" s="200"/>
      <c r="M84" s="200"/>
      <c r="N84" s="200"/>
      <c r="O84" s="200"/>
      <c r="P84" s="200"/>
      <c r="Q84" s="200"/>
      <c r="R84" s="200"/>
      <c r="S84" s="200"/>
      <c r="T84" s="200"/>
      <c r="AH84">
        <v>61.916666666666664</v>
      </c>
      <c r="AI84">
        <v>0.77500000000000002</v>
      </c>
      <c r="AK84">
        <v>0.77500000000000002</v>
      </c>
      <c r="AV84">
        <v>61.666666666666664</v>
      </c>
      <c r="AW84">
        <v>0.754</v>
      </c>
    </row>
    <row r="85" spans="1:49" x14ac:dyDescent="0.25">
      <c r="A85" s="200"/>
      <c r="B85" s="200"/>
      <c r="C85" s="200"/>
      <c r="D85" s="200"/>
      <c r="E85" s="200"/>
      <c r="F85" s="200"/>
      <c r="G85" s="200"/>
      <c r="H85" s="200"/>
      <c r="I85" s="200"/>
      <c r="J85" s="200"/>
      <c r="K85" s="200"/>
      <c r="L85" s="200"/>
      <c r="M85" s="200"/>
      <c r="N85" s="200"/>
      <c r="O85" s="200"/>
      <c r="P85" s="200"/>
      <c r="Q85" s="200"/>
      <c r="R85" s="200"/>
      <c r="S85" s="200"/>
      <c r="T85" s="200"/>
      <c r="AH85">
        <v>62</v>
      </c>
      <c r="AI85">
        <v>0.77700000000000002</v>
      </c>
      <c r="AK85">
        <v>0.77700000000000002</v>
      </c>
      <c r="AV85">
        <v>61.75</v>
      </c>
      <c r="AW85">
        <v>0.75700000000000001</v>
      </c>
    </row>
    <row r="86" spans="1:49" x14ac:dyDescent="0.25">
      <c r="AH86">
        <v>62.083333333333336</v>
      </c>
      <c r="AI86">
        <v>0.78100000000000003</v>
      </c>
      <c r="AK86">
        <v>0.78100000000000003</v>
      </c>
      <c r="AV86">
        <v>61.833333333333336</v>
      </c>
      <c r="AW86">
        <v>0.76100000000000001</v>
      </c>
    </row>
    <row r="87" spans="1:49" x14ac:dyDescent="0.25">
      <c r="AH87">
        <v>62.166666666666664</v>
      </c>
      <c r="AI87">
        <v>0.78400000000000003</v>
      </c>
      <c r="AK87">
        <v>0.78400000000000003</v>
      </c>
      <c r="AV87">
        <v>61.916666666666664</v>
      </c>
      <c r="AW87">
        <v>0.76400000000000001</v>
      </c>
    </row>
    <row r="88" spans="1:49" x14ac:dyDescent="0.25">
      <c r="AH88">
        <v>62.25</v>
      </c>
      <c r="AI88">
        <v>0.78700000000000003</v>
      </c>
      <c r="AK88">
        <v>0.78700000000000003</v>
      </c>
      <c r="AV88">
        <v>62</v>
      </c>
      <c r="AW88">
        <v>0.76700000000000002</v>
      </c>
    </row>
    <row r="89" spans="1:49" x14ac:dyDescent="0.25">
      <c r="AH89">
        <v>62.333333333333336</v>
      </c>
      <c r="AI89">
        <v>0.79</v>
      </c>
      <c r="AK89">
        <v>0.79</v>
      </c>
      <c r="AV89">
        <v>62.083333333333336</v>
      </c>
      <c r="AW89">
        <v>0.77</v>
      </c>
    </row>
    <row r="90" spans="1:49" x14ac:dyDescent="0.25">
      <c r="AH90">
        <v>62.416666666666664</v>
      </c>
      <c r="AI90">
        <v>0.79300000000000004</v>
      </c>
      <c r="AK90">
        <v>0.79300000000000004</v>
      </c>
      <c r="AV90">
        <v>62.166666666666664</v>
      </c>
      <c r="AW90">
        <v>0.77300000000000002</v>
      </c>
    </row>
    <row r="91" spans="1:49" x14ac:dyDescent="0.25">
      <c r="AH91">
        <v>62.5</v>
      </c>
      <c r="AI91">
        <v>0.79600000000000004</v>
      </c>
      <c r="AK91">
        <v>0.79600000000000004</v>
      </c>
      <c r="AV91">
        <v>62.25</v>
      </c>
      <c r="AW91">
        <v>0.77700000000000002</v>
      </c>
    </row>
    <row r="92" spans="1:49" x14ac:dyDescent="0.25">
      <c r="AH92">
        <v>62.583333333333336</v>
      </c>
      <c r="AI92">
        <v>0.79900000000000004</v>
      </c>
      <c r="AK92">
        <v>0.79900000000000004</v>
      </c>
      <c r="AV92">
        <v>62.333333333333336</v>
      </c>
      <c r="AW92">
        <v>0.78</v>
      </c>
    </row>
    <row r="93" spans="1:49" x14ac:dyDescent="0.25">
      <c r="AH93">
        <v>62.666666666666664</v>
      </c>
      <c r="AI93">
        <v>0.80200000000000005</v>
      </c>
      <c r="AK93">
        <v>0.80200000000000005</v>
      </c>
      <c r="AV93">
        <v>62.416666666666664</v>
      </c>
      <c r="AW93">
        <v>0.78300000000000003</v>
      </c>
    </row>
    <row r="94" spans="1:49" x14ac:dyDescent="0.25">
      <c r="AH94">
        <v>62.75</v>
      </c>
      <c r="AI94">
        <v>0.80600000000000005</v>
      </c>
      <c r="AK94">
        <v>0.80600000000000005</v>
      </c>
      <c r="AV94">
        <v>62.5</v>
      </c>
      <c r="AW94">
        <v>0.78700000000000003</v>
      </c>
    </row>
    <row r="95" spans="1:49" x14ac:dyDescent="0.25">
      <c r="AH95">
        <v>62.833333333333336</v>
      </c>
      <c r="AI95">
        <v>0.80900000000000005</v>
      </c>
      <c r="AK95">
        <v>0.80900000000000005</v>
      </c>
      <c r="AV95">
        <v>62.583333333333336</v>
      </c>
      <c r="AW95">
        <v>0.79</v>
      </c>
    </row>
    <row r="96" spans="1:49" x14ac:dyDescent="0.25">
      <c r="AH96">
        <v>62.916666666666664</v>
      </c>
      <c r="AI96">
        <v>0.81200000000000006</v>
      </c>
      <c r="AK96">
        <v>0.81200000000000006</v>
      </c>
      <c r="AV96">
        <v>62.666666666666664</v>
      </c>
      <c r="AW96">
        <v>0.79300000000000004</v>
      </c>
    </row>
    <row r="97" spans="34:49" x14ac:dyDescent="0.25">
      <c r="AH97">
        <v>63</v>
      </c>
      <c r="AI97">
        <v>0.81499999999999995</v>
      </c>
      <c r="AK97">
        <v>0.81499999999999995</v>
      </c>
      <c r="AV97">
        <v>62.75</v>
      </c>
      <c r="AW97">
        <v>0.79700000000000004</v>
      </c>
    </row>
    <row r="98" spans="34:49" x14ac:dyDescent="0.25">
      <c r="AH98">
        <v>63.083333333333336</v>
      </c>
      <c r="AI98">
        <v>0.81799999999999995</v>
      </c>
      <c r="AK98">
        <v>0.81799999999999995</v>
      </c>
      <c r="AV98">
        <v>62.833333333333336</v>
      </c>
      <c r="AW98">
        <v>0.8</v>
      </c>
    </row>
    <row r="99" spans="34:49" x14ac:dyDescent="0.25">
      <c r="AH99">
        <v>63.166666666666664</v>
      </c>
      <c r="AI99">
        <v>0.82199999999999995</v>
      </c>
      <c r="AK99">
        <v>0.82199999999999995</v>
      </c>
      <c r="AV99">
        <v>62.916666666666664</v>
      </c>
      <c r="AW99">
        <v>0.80300000000000005</v>
      </c>
    </row>
    <row r="100" spans="34:49" x14ac:dyDescent="0.25">
      <c r="AH100">
        <v>63.25</v>
      </c>
      <c r="AI100">
        <v>0.82499999999999996</v>
      </c>
      <c r="AK100">
        <v>0.82499999999999996</v>
      </c>
      <c r="AV100">
        <v>63</v>
      </c>
      <c r="AW100">
        <v>0.80700000000000005</v>
      </c>
    </row>
    <row r="101" spans="34:49" x14ac:dyDescent="0.25">
      <c r="AH101">
        <v>63.333333333333336</v>
      </c>
      <c r="AI101">
        <v>0.82799999999999996</v>
      </c>
      <c r="AK101">
        <v>0.82799999999999996</v>
      </c>
      <c r="AV101">
        <v>63.083333333333336</v>
      </c>
      <c r="AW101">
        <v>0.81</v>
      </c>
    </row>
    <row r="102" spans="34:49" x14ac:dyDescent="0.25">
      <c r="AH102">
        <v>63.416666666666664</v>
      </c>
      <c r="AI102">
        <v>0.83199999999999996</v>
      </c>
      <c r="AK102">
        <v>0.83199999999999996</v>
      </c>
      <c r="AV102">
        <v>63.166666666666664</v>
      </c>
      <c r="AW102">
        <v>0.81399999999999995</v>
      </c>
    </row>
    <row r="103" spans="34:49" x14ac:dyDescent="0.25">
      <c r="AH103">
        <v>63.5</v>
      </c>
      <c r="AI103">
        <v>0.83499999999999996</v>
      </c>
      <c r="AK103">
        <v>0.83499999999999996</v>
      </c>
      <c r="AV103">
        <v>63.25</v>
      </c>
      <c r="AW103">
        <v>0.81699999999999995</v>
      </c>
    </row>
    <row r="104" spans="34:49" x14ac:dyDescent="0.25">
      <c r="AH104">
        <v>63.583333333333336</v>
      </c>
      <c r="AI104">
        <v>0.83899999999999997</v>
      </c>
      <c r="AK104">
        <v>0.83899999999999997</v>
      </c>
      <c r="AV104">
        <v>63.333333333333336</v>
      </c>
      <c r="AW104">
        <v>0.82099999999999995</v>
      </c>
    </row>
    <row r="105" spans="34:49" x14ac:dyDescent="0.25">
      <c r="AH105">
        <v>63.666666666666664</v>
      </c>
      <c r="AI105">
        <v>0.84199999999999997</v>
      </c>
      <c r="AK105">
        <v>0.84199999999999997</v>
      </c>
      <c r="AV105">
        <v>63.416666666666664</v>
      </c>
      <c r="AW105">
        <v>0.82399999999999995</v>
      </c>
    </row>
    <row r="106" spans="34:49" x14ac:dyDescent="0.25">
      <c r="AH106">
        <v>63.75</v>
      </c>
      <c r="AI106">
        <v>0.84499999999999997</v>
      </c>
      <c r="AK106">
        <v>0.84499999999999997</v>
      </c>
      <c r="AV106">
        <v>63.5</v>
      </c>
      <c r="AW106">
        <v>0.82799999999999996</v>
      </c>
    </row>
    <row r="107" spans="34:49" x14ac:dyDescent="0.25">
      <c r="AH107">
        <v>63.833333333333336</v>
      </c>
      <c r="AI107">
        <v>0.84899999999999998</v>
      </c>
      <c r="AK107">
        <v>0.84899999999999998</v>
      </c>
      <c r="AV107">
        <v>63.583333333333336</v>
      </c>
      <c r="AW107">
        <v>0.83199999999999996</v>
      </c>
    </row>
    <row r="108" spans="34:49" x14ac:dyDescent="0.25">
      <c r="AH108">
        <v>63.916666666666664</v>
      </c>
      <c r="AI108">
        <v>0.85199999999999998</v>
      </c>
      <c r="AK108">
        <v>0.85199999999999998</v>
      </c>
      <c r="AV108">
        <v>63.666666666666664</v>
      </c>
      <c r="AW108">
        <v>0.83499999999999996</v>
      </c>
    </row>
    <row r="109" spans="34:49" x14ac:dyDescent="0.25">
      <c r="AH109">
        <v>64</v>
      </c>
      <c r="AI109">
        <v>0.85499999999999998</v>
      </c>
      <c r="AK109">
        <v>0.85499999999999998</v>
      </c>
      <c r="AV109">
        <v>63.75</v>
      </c>
      <c r="AW109">
        <v>0.83899999999999997</v>
      </c>
    </row>
    <row r="110" spans="34:49" x14ac:dyDescent="0.25">
      <c r="AH110">
        <v>64.083333333333329</v>
      </c>
      <c r="AI110">
        <v>0.85899999999999999</v>
      </c>
      <c r="AK110">
        <v>0.85899999999999999</v>
      </c>
      <c r="AV110">
        <v>63.833333333333336</v>
      </c>
      <c r="AW110">
        <v>0.84199999999999997</v>
      </c>
    </row>
    <row r="111" spans="34:49" x14ac:dyDescent="0.25">
      <c r="AH111">
        <v>64.166666666666671</v>
      </c>
      <c r="AI111">
        <v>0.86299999999999999</v>
      </c>
      <c r="AK111">
        <v>0.86299999999999999</v>
      </c>
      <c r="AV111">
        <v>63.916666666666664</v>
      </c>
      <c r="AW111">
        <v>0.84599999999999997</v>
      </c>
    </row>
    <row r="112" spans="34:49" x14ac:dyDescent="0.25">
      <c r="AH112">
        <v>64.25</v>
      </c>
      <c r="AI112">
        <v>0.86599999999999999</v>
      </c>
      <c r="AK112">
        <v>0.86599999999999999</v>
      </c>
      <c r="AV112">
        <v>64</v>
      </c>
      <c r="AW112">
        <v>0.84899999999999998</v>
      </c>
    </row>
    <row r="113" spans="34:49" x14ac:dyDescent="0.25">
      <c r="AH113">
        <v>64.333333333333329</v>
      </c>
      <c r="AI113">
        <v>0.87</v>
      </c>
      <c r="AK113">
        <v>0.87</v>
      </c>
      <c r="AV113">
        <v>64.083333333333329</v>
      </c>
      <c r="AW113">
        <v>0.85299999999999998</v>
      </c>
    </row>
    <row r="114" spans="34:49" x14ac:dyDescent="0.25">
      <c r="AH114">
        <v>64.416666666666671</v>
      </c>
      <c r="AI114">
        <v>0.874</v>
      </c>
      <c r="AK114">
        <v>0.874</v>
      </c>
      <c r="AV114">
        <v>64.166666666666671</v>
      </c>
      <c r="AW114">
        <v>0.85699999999999998</v>
      </c>
    </row>
    <row r="115" spans="34:49" x14ac:dyDescent="0.25">
      <c r="AH115">
        <v>64.5</v>
      </c>
      <c r="AI115">
        <v>0.877</v>
      </c>
      <c r="AK115">
        <v>0.877</v>
      </c>
      <c r="AV115">
        <v>64.25</v>
      </c>
      <c r="AW115">
        <v>0.86099999999999999</v>
      </c>
    </row>
    <row r="116" spans="34:49" x14ac:dyDescent="0.25">
      <c r="AH116">
        <v>64.583333333333329</v>
      </c>
      <c r="AI116">
        <v>0.88100000000000001</v>
      </c>
      <c r="AK116">
        <v>0.88100000000000001</v>
      </c>
      <c r="AV116">
        <v>64.333333333333329</v>
      </c>
      <c r="AW116">
        <v>0.86499999999999999</v>
      </c>
    </row>
    <row r="117" spans="34:49" x14ac:dyDescent="0.25">
      <c r="AH117">
        <v>64.666666666666671</v>
      </c>
      <c r="AI117">
        <v>0.88500000000000001</v>
      </c>
      <c r="AK117">
        <v>0.88500000000000001</v>
      </c>
      <c r="AV117">
        <v>64.416666666666671</v>
      </c>
      <c r="AW117">
        <v>0.86899999999999999</v>
      </c>
    </row>
    <row r="118" spans="34:49" x14ac:dyDescent="0.25">
      <c r="AH118">
        <v>64.75</v>
      </c>
      <c r="AI118">
        <v>0.88800000000000001</v>
      </c>
      <c r="AK118">
        <v>0.88800000000000001</v>
      </c>
      <c r="AV118">
        <v>64.5</v>
      </c>
      <c r="AW118">
        <v>0.873</v>
      </c>
    </row>
    <row r="119" spans="34:49" x14ac:dyDescent="0.25">
      <c r="AH119">
        <v>64.833333333333329</v>
      </c>
      <c r="AI119">
        <v>0.89200000000000002</v>
      </c>
      <c r="AK119">
        <v>0.89200000000000002</v>
      </c>
      <c r="AV119">
        <v>64.583333333333329</v>
      </c>
      <c r="AW119">
        <v>0.876</v>
      </c>
    </row>
    <row r="120" spans="34:49" x14ac:dyDescent="0.25">
      <c r="AH120">
        <v>64.916666666666671</v>
      </c>
      <c r="AI120">
        <v>0.89600000000000002</v>
      </c>
      <c r="AK120">
        <v>0.89600000000000002</v>
      </c>
      <c r="AV120">
        <v>64.666666666666671</v>
      </c>
      <c r="AW120">
        <v>0.88</v>
      </c>
    </row>
    <row r="121" spans="34:49" x14ac:dyDescent="0.25">
      <c r="AH121">
        <v>65</v>
      </c>
      <c r="AI121">
        <v>0.89900000000000002</v>
      </c>
      <c r="AK121">
        <v>0.89900000000000002</v>
      </c>
      <c r="AV121">
        <v>64.75</v>
      </c>
      <c r="AW121">
        <v>0.88400000000000001</v>
      </c>
    </row>
    <row r="122" spans="34:49" x14ac:dyDescent="0.25">
      <c r="AH122">
        <v>65.0833333333333</v>
      </c>
      <c r="AI122">
        <v>0.90300000000000002</v>
      </c>
      <c r="AK122">
        <v>0.90300000000000002</v>
      </c>
      <c r="AV122">
        <v>64.833333333333329</v>
      </c>
      <c r="AW122">
        <v>0.88800000000000001</v>
      </c>
    </row>
    <row r="123" spans="34:49" x14ac:dyDescent="0.25">
      <c r="AH123">
        <v>65.1666666666667</v>
      </c>
      <c r="AI123">
        <v>0.90700000000000003</v>
      </c>
      <c r="AK123">
        <v>0.90700000000000003</v>
      </c>
      <c r="AV123">
        <v>64.916666666666671</v>
      </c>
      <c r="AW123">
        <v>0.89200000000000002</v>
      </c>
    </row>
    <row r="124" spans="34:49" x14ac:dyDescent="0.25">
      <c r="AH124">
        <v>65.25</v>
      </c>
      <c r="AI124">
        <v>0.91100000000000003</v>
      </c>
      <c r="AK124">
        <v>0.91100000000000003</v>
      </c>
      <c r="AV124">
        <v>65</v>
      </c>
      <c r="AW124">
        <v>0.89600000000000002</v>
      </c>
    </row>
    <row r="125" spans="34:49" x14ac:dyDescent="0.25">
      <c r="AH125">
        <v>65.3333333333333</v>
      </c>
      <c r="AI125">
        <v>0.91500000000000004</v>
      </c>
      <c r="AK125">
        <v>0.91500000000000004</v>
      </c>
      <c r="AV125">
        <v>65.0833333333333</v>
      </c>
      <c r="AW125">
        <v>0.9</v>
      </c>
    </row>
    <row r="126" spans="34:49" x14ac:dyDescent="0.25">
      <c r="AH126">
        <v>65.4166666666667</v>
      </c>
      <c r="AI126">
        <v>0.91900000000000004</v>
      </c>
      <c r="AK126">
        <v>0.91900000000000004</v>
      </c>
      <c r="AV126">
        <v>65.1666666666667</v>
      </c>
      <c r="AW126">
        <v>0.90400000000000003</v>
      </c>
    </row>
    <row r="127" spans="34:49" x14ac:dyDescent="0.25">
      <c r="AH127">
        <v>65.5</v>
      </c>
      <c r="AI127">
        <v>0.92300000000000004</v>
      </c>
      <c r="AK127">
        <v>0.92300000000000004</v>
      </c>
      <c r="AV127">
        <v>65.25</v>
      </c>
      <c r="AW127">
        <v>0.90800000000000003</v>
      </c>
    </row>
    <row r="128" spans="34:49" x14ac:dyDescent="0.25">
      <c r="AH128">
        <v>65.5833333333333</v>
      </c>
      <c r="AI128">
        <v>0.92700000000000005</v>
      </c>
      <c r="AK128">
        <v>0.92700000000000005</v>
      </c>
      <c r="AV128">
        <v>65.3333333333333</v>
      </c>
      <c r="AW128">
        <v>0.91200000000000003</v>
      </c>
    </row>
    <row r="129" spans="34:49" x14ac:dyDescent="0.25">
      <c r="AH129">
        <v>65.6666666666667</v>
      </c>
      <c r="AI129">
        <v>0.93100000000000005</v>
      </c>
      <c r="AK129">
        <v>0.93100000000000005</v>
      </c>
      <c r="AV129">
        <v>65.4166666666667</v>
      </c>
      <c r="AW129">
        <v>0.91700000000000004</v>
      </c>
    </row>
    <row r="130" spans="34:49" x14ac:dyDescent="0.25">
      <c r="AH130">
        <v>65.75</v>
      </c>
      <c r="AI130">
        <v>0.93500000000000005</v>
      </c>
      <c r="AK130">
        <v>0.93500000000000005</v>
      </c>
      <c r="AV130">
        <v>65.5</v>
      </c>
      <c r="AW130">
        <v>0.92100000000000004</v>
      </c>
    </row>
    <row r="131" spans="34:49" x14ac:dyDescent="0.25">
      <c r="AH131">
        <v>65.8333333333333</v>
      </c>
      <c r="AI131">
        <v>0.93899999999999995</v>
      </c>
      <c r="AK131">
        <v>0.93899999999999995</v>
      </c>
      <c r="AV131">
        <v>65.5833333333333</v>
      </c>
      <c r="AW131">
        <v>0.92500000000000004</v>
      </c>
    </row>
    <row r="132" spans="34:49" x14ac:dyDescent="0.25">
      <c r="AH132">
        <v>65.9166666666667</v>
      </c>
      <c r="AI132">
        <v>0.94399999999999995</v>
      </c>
      <c r="AK132">
        <v>0.94399999999999995</v>
      </c>
      <c r="AV132">
        <v>65.6666666666667</v>
      </c>
      <c r="AW132">
        <v>0.92900000000000005</v>
      </c>
    </row>
    <row r="133" spans="34:49" x14ac:dyDescent="0.25">
      <c r="AH133">
        <v>66</v>
      </c>
      <c r="AI133">
        <v>0.94799999999999995</v>
      </c>
      <c r="AK133">
        <v>0.94799999999999995</v>
      </c>
      <c r="AV133">
        <v>65.75</v>
      </c>
      <c r="AW133">
        <v>0.93300000000000005</v>
      </c>
    </row>
    <row r="134" spans="34:49" x14ac:dyDescent="0.25">
      <c r="AH134">
        <v>66.0833333333333</v>
      </c>
      <c r="AI134">
        <v>0.95199999999999996</v>
      </c>
      <c r="AK134">
        <v>0.95199999999999996</v>
      </c>
      <c r="AV134">
        <v>65.8333333333333</v>
      </c>
      <c r="AW134">
        <v>0.93700000000000006</v>
      </c>
    </row>
    <row r="135" spans="34:49" x14ac:dyDescent="0.25">
      <c r="AH135">
        <v>66.1666666666667</v>
      </c>
      <c r="AI135">
        <v>0.95599999999999996</v>
      </c>
      <c r="AK135">
        <v>0.95599999999999996</v>
      </c>
      <c r="AV135">
        <v>65.9166666666667</v>
      </c>
      <c r="AW135">
        <v>0.94199999999999995</v>
      </c>
    </row>
    <row r="136" spans="34:49" x14ac:dyDescent="0.25">
      <c r="AH136">
        <v>66.25</v>
      </c>
      <c r="AI136">
        <v>0.96099999999999997</v>
      </c>
      <c r="AK136">
        <v>0.96099999999999997</v>
      </c>
      <c r="AV136">
        <v>66</v>
      </c>
      <c r="AW136">
        <v>0.94599999999999995</v>
      </c>
    </row>
    <row r="137" spans="34:49" x14ac:dyDescent="0.25">
      <c r="AH137">
        <v>66.3333333333333</v>
      </c>
      <c r="AI137">
        <v>0.96499999999999997</v>
      </c>
      <c r="AK137">
        <v>0.96499999999999997</v>
      </c>
      <c r="AV137">
        <v>66.0833333333333</v>
      </c>
      <c r="AW137">
        <v>0.95</v>
      </c>
    </row>
    <row r="138" spans="34:49" x14ac:dyDescent="0.25">
      <c r="AH138">
        <v>66.4166666666667</v>
      </c>
      <c r="AI138">
        <v>0.96899999999999997</v>
      </c>
      <c r="AK138">
        <v>0.96899999999999997</v>
      </c>
      <c r="AV138">
        <v>66.166666666666671</v>
      </c>
      <c r="AW138">
        <v>0.95499999999999996</v>
      </c>
    </row>
    <row r="139" spans="34:49" x14ac:dyDescent="0.25">
      <c r="AH139">
        <v>66.5</v>
      </c>
      <c r="AI139">
        <v>0.97399999999999998</v>
      </c>
      <c r="AK139">
        <v>0.97399999999999998</v>
      </c>
      <c r="AV139">
        <v>66.25</v>
      </c>
      <c r="AW139">
        <v>0.95899999999999996</v>
      </c>
    </row>
    <row r="140" spans="34:49" x14ac:dyDescent="0.25">
      <c r="AH140">
        <v>66.5833333333333</v>
      </c>
      <c r="AI140">
        <v>0.97799999999999998</v>
      </c>
      <c r="AK140">
        <v>0.97799999999999998</v>
      </c>
      <c r="AV140">
        <v>66.3333333333333</v>
      </c>
      <c r="AW140">
        <v>0.96399999999999997</v>
      </c>
    </row>
    <row r="141" spans="34:49" x14ac:dyDescent="0.25">
      <c r="AH141">
        <v>66.6666666666667</v>
      </c>
      <c r="AI141">
        <v>0.98299999999999998</v>
      </c>
      <c r="AK141">
        <v>0.98299999999999998</v>
      </c>
      <c r="AV141">
        <v>66.4166666666667</v>
      </c>
      <c r="AW141">
        <v>0.96799999999999997</v>
      </c>
    </row>
    <row r="142" spans="34:49" x14ac:dyDescent="0.25">
      <c r="AH142">
        <v>66.75</v>
      </c>
      <c r="AI142">
        <v>0.98699999999999999</v>
      </c>
      <c r="AK142">
        <v>0.98699999999999999</v>
      </c>
      <c r="AV142">
        <v>66.5</v>
      </c>
      <c r="AW142">
        <v>0.97299999999999998</v>
      </c>
    </row>
    <row r="143" spans="34:49" x14ac:dyDescent="0.25">
      <c r="AH143">
        <v>66.8333333333333</v>
      </c>
      <c r="AI143">
        <v>0.99099999999999999</v>
      </c>
      <c r="AK143">
        <v>0.99099999999999999</v>
      </c>
      <c r="AV143">
        <v>66.5833333333333</v>
      </c>
      <c r="AW143">
        <v>0.97699999999999998</v>
      </c>
    </row>
    <row r="144" spans="34:49" x14ac:dyDescent="0.25">
      <c r="AH144">
        <v>66.9166666666667</v>
      </c>
      <c r="AI144">
        <v>0.996</v>
      </c>
      <c r="AK144">
        <v>0.996</v>
      </c>
      <c r="AV144">
        <v>66.6666666666667</v>
      </c>
      <c r="AW144">
        <v>0.98199999999999998</v>
      </c>
    </row>
    <row r="145" spans="34:49" x14ac:dyDescent="0.25">
      <c r="AH145">
        <v>67</v>
      </c>
      <c r="AI145">
        <v>1</v>
      </c>
      <c r="AK145">
        <v>1</v>
      </c>
      <c r="AL145">
        <v>67</v>
      </c>
      <c r="AM145">
        <v>0.94599999999999995</v>
      </c>
      <c r="AV145">
        <v>66.75</v>
      </c>
      <c r="AW145">
        <v>0.98599999999999999</v>
      </c>
    </row>
    <row r="146" spans="34:49" x14ac:dyDescent="0.25">
      <c r="AH146">
        <v>67.0833333333333</v>
      </c>
      <c r="AI146">
        <v>1</v>
      </c>
      <c r="AL146">
        <v>67.0833333333333</v>
      </c>
      <c r="AM146">
        <v>0.95</v>
      </c>
      <c r="AV146">
        <v>66.8333333333333</v>
      </c>
      <c r="AW146">
        <v>0.99099999999999999</v>
      </c>
    </row>
    <row r="147" spans="34:49" x14ac:dyDescent="0.25">
      <c r="AH147">
        <f>67+(2/12)</f>
        <v>67.166666666666671</v>
      </c>
      <c r="AI147">
        <v>1</v>
      </c>
      <c r="AL147">
        <v>67.167676767676696</v>
      </c>
      <c r="AM147">
        <v>0.95499999999999996</v>
      </c>
      <c r="AV147">
        <v>66.916666666666671</v>
      </c>
      <c r="AW147">
        <v>0.995</v>
      </c>
    </row>
    <row r="148" spans="34:49" x14ac:dyDescent="0.25">
      <c r="AH148">
        <v>67.25</v>
      </c>
      <c r="AI148">
        <v>1</v>
      </c>
      <c r="AL148">
        <v>67.25</v>
      </c>
      <c r="AM148">
        <v>0.95899999999999996</v>
      </c>
      <c r="AV148">
        <v>67</v>
      </c>
      <c r="AW148">
        <v>1</v>
      </c>
    </row>
    <row r="149" spans="34:49" x14ac:dyDescent="0.25">
      <c r="AH149">
        <v>67.3333333333333</v>
      </c>
      <c r="AI149">
        <v>1</v>
      </c>
      <c r="AL149">
        <v>67.3333333333333</v>
      </c>
      <c r="AM149">
        <v>0.96399999999999997</v>
      </c>
      <c r="AV149">
        <v>67.0833333333333</v>
      </c>
      <c r="AW149">
        <v>1</v>
      </c>
    </row>
    <row r="150" spans="34:49" x14ac:dyDescent="0.25">
      <c r="AH150">
        <v>67.416767676767705</v>
      </c>
      <c r="AI150">
        <v>1</v>
      </c>
      <c r="AL150">
        <v>67.416767676767705</v>
      </c>
      <c r="AM150">
        <v>0.96799999999999997</v>
      </c>
      <c r="AV150">
        <v>67.167676767676696</v>
      </c>
      <c r="AW150">
        <v>1</v>
      </c>
    </row>
    <row r="151" spans="34:49" x14ac:dyDescent="0.25">
      <c r="AH151">
        <v>67.5</v>
      </c>
      <c r="AI151">
        <v>1</v>
      </c>
      <c r="AL151">
        <v>67.5</v>
      </c>
      <c r="AM151">
        <v>0.97299999999999998</v>
      </c>
      <c r="AV151">
        <v>67.25</v>
      </c>
      <c r="AW151">
        <v>1</v>
      </c>
    </row>
    <row r="152" spans="34:49" x14ac:dyDescent="0.25">
      <c r="AH152">
        <v>67.5833333333333</v>
      </c>
      <c r="AI152">
        <v>1</v>
      </c>
      <c r="AL152">
        <v>67.5833333333333</v>
      </c>
      <c r="AM152">
        <v>0.97699999999999998</v>
      </c>
      <c r="AV152">
        <v>67.3333333333333</v>
      </c>
      <c r="AW152">
        <v>1</v>
      </c>
    </row>
    <row r="153" spans="34:49" x14ac:dyDescent="0.25">
      <c r="AH153">
        <v>67.6666666666667</v>
      </c>
      <c r="AI153">
        <v>1</v>
      </c>
      <c r="AL153">
        <v>67.676767676767696</v>
      </c>
      <c r="AM153">
        <v>0.98199999999999998</v>
      </c>
      <c r="AV153">
        <v>67.416767676767705</v>
      </c>
      <c r="AW153">
        <v>1</v>
      </c>
    </row>
    <row r="154" spans="34:49" x14ac:dyDescent="0.25">
      <c r="AH154">
        <v>67.75</v>
      </c>
      <c r="AI154">
        <v>1</v>
      </c>
      <c r="AL154">
        <v>67.75</v>
      </c>
      <c r="AM154">
        <v>0.98599999999999999</v>
      </c>
      <c r="AV154">
        <v>67.5</v>
      </c>
      <c r="AW154">
        <v>1</v>
      </c>
    </row>
    <row r="155" spans="34:49" x14ac:dyDescent="0.25">
      <c r="AH155">
        <v>67.8333333333333</v>
      </c>
      <c r="AI155">
        <v>1</v>
      </c>
      <c r="AL155">
        <v>67.83</v>
      </c>
      <c r="AM155">
        <v>0.99099999999999999</v>
      </c>
      <c r="AV155">
        <v>67.5833333333333</v>
      </c>
      <c r="AW155">
        <v>1</v>
      </c>
    </row>
    <row r="156" spans="34:49" x14ac:dyDescent="0.25">
      <c r="AH156">
        <f>67+(11/12)</f>
        <v>67.916666666666671</v>
      </c>
      <c r="AI156">
        <v>1</v>
      </c>
      <c r="AL156">
        <v>67.92</v>
      </c>
      <c r="AM156">
        <v>0.995</v>
      </c>
      <c r="AV156">
        <v>67.676767676767696</v>
      </c>
      <c r="AW156">
        <v>1</v>
      </c>
    </row>
    <row r="157" spans="34:49" x14ac:dyDescent="0.25">
      <c r="AH157">
        <v>68</v>
      </c>
      <c r="AI157">
        <v>1</v>
      </c>
      <c r="AV157">
        <v>67.75</v>
      </c>
      <c r="AW157">
        <v>1</v>
      </c>
    </row>
    <row r="158" spans="34:49" x14ac:dyDescent="0.25">
      <c r="AH158">
        <v>68.0833333333333</v>
      </c>
      <c r="AI158">
        <v>1</v>
      </c>
      <c r="AV158">
        <v>67.8333333333333</v>
      </c>
      <c r="AW158">
        <v>1</v>
      </c>
    </row>
    <row r="159" spans="34:49" x14ac:dyDescent="0.25">
      <c r="AH159">
        <f>68+(2/12)</f>
        <v>68.166666666666671</v>
      </c>
      <c r="AI159">
        <v>1</v>
      </c>
      <c r="AV159">
        <v>67.916767676767705</v>
      </c>
      <c r="AW159">
        <v>1</v>
      </c>
    </row>
    <row r="160" spans="34:49" x14ac:dyDescent="0.25">
      <c r="AH160">
        <v>68.25</v>
      </c>
      <c r="AI160">
        <v>1</v>
      </c>
    </row>
    <row r="161" spans="34:35" x14ac:dyDescent="0.25">
      <c r="AH161">
        <v>68.3333333333333</v>
      </c>
      <c r="AI161">
        <v>1</v>
      </c>
    </row>
    <row r="162" spans="34:35" x14ac:dyDescent="0.25">
      <c r="AH162">
        <v>68.416767676767705</v>
      </c>
      <c r="AI162">
        <v>1</v>
      </c>
    </row>
    <row r="163" spans="34:35" x14ac:dyDescent="0.25">
      <c r="AH163">
        <v>68.5</v>
      </c>
      <c r="AI163">
        <v>1</v>
      </c>
    </row>
    <row r="164" spans="34:35" x14ac:dyDescent="0.25">
      <c r="AH164">
        <v>68.5833333333333</v>
      </c>
      <c r="AI164">
        <v>1</v>
      </c>
    </row>
    <row r="165" spans="34:35" x14ac:dyDescent="0.25">
      <c r="AH165">
        <v>68.676767676767696</v>
      </c>
      <c r="AI165">
        <v>1</v>
      </c>
    </row>
    <row r="166" spans="34:35" x14ac:dyDescent="0.25">
      <c r="AH166">
        <v>68.75</v>
      </c>
      <c r="AI166">
        <v>1</v>
      </c>
    </row>
    <row r="167" spans="34:35" x14ac:dyDescent="0.25">
      <c r="AH167">
        <v>68.8333333333333</v>
      </c>
      <c r="AI167">
        <v>1</v>
      </c>
    </row>
    <row r="168" spans="34:35" x14ac:dyDescent="0.25">
      <c r="AH168">
        <f>68+(11/12)</f>
        <v>68.916666666666671</v>
      </c>
      <c r="AI168">
        <v>1</v>
      </c>
    </row>
    <row r="169" spans="34:35" x14ac:dyDescent="0.25">
      <c r="AH169">
        <v>69</v>
      </c>
      <c r="AI169">
        <v>1</v>
      </c>
    </row>
    <row r="170" spans="34:35" x14ac:dyDescent="0.25">
      <c r="AH170">
        <f>69+1/12</f>
        <v>69.083333333333329</v>
      </c>
      <c r="AI170">
        <v>1</v>
      </c>
    </row>
    <row r="171" spans="34:35" x14ac:dyDescent="0.25">
      <c r="AH171">
        <f>69+2/12</f>
        <v>69.166666666666671</v>
      </c>
      <c r="AI171">
        <v>1</v>
      </c>
    </row>
    <row r="172" spans="34:35" x14ac:dyDescent="0.25">
      <c r="AH172">
        <f>69+3/12</f>
        <v>69.25</v>
      </c>
      <c r="AI172">
        <v>1</v>
      </c>
    </row>
    <row r="173" spans="34:35" x14ac:dyDescent="0.25">
      <c r="AH173">
        <f>69+4/12</f>
        <v>69.333333333333329</v>
      </c>
      <c r="AI173">
        <v>1</v>
      </c>
    </row>
    <row r="174" spans="34:35" x14ac:dyDescent="0.25">
      <c r="AH174">
        <f>69+5/12</f>
        <v>69.416666666666671</v>
      </c>
      <c r="AI174">
        <v>1</v>
      </c>
    </row>
    <row r="175" spans="34:35" x14ac:dyDescent="0.25">
      <c r="AH175">
        <f>69+6/12</f>
        <v>69.5</v>
      </c>
      <c r="AI175">
        <v>1</v>
      </c>
    </row>
    <row r="176" spans="34:35" x14ac:dyDescent="0.25">
      <c r="AH176">
        <f>69+7/12</f>
        <v>69.583333333333329</v>
      </c>
      <c r="AI176">
        <v>1</v>
      </c>
    </row>
    <row r="177" spans="34:35" x14ac:dyDescent="0.25">
      <c r="AH177">
        <v>69.676767676767696</v>
      </c>
      <c r="AI177">
        <v>1</v>
      </c>
    </row>
    <row r="178" spans="34:35" x14ac:dyDescent="0.25">
      <c r="AH178">
        <v>69.75</v>
      </c>
      <c r="AI178">
        <v>1</v>
      </c>
    </row>
    <row r="179" spans="34:35" x14ac:dyDescent="0.25">
      <c r="AH179">
        <v>69.8333333333333</v>
      </c>
      <c r="AI179">
        <v>1</v>
      </c>
    </row>
    <row r="180" spans="34:35" x14ac:dyDescent="0.25">
      <c r="AH180">
        <f>69+(11/12)</f>
        <v>69.916666666666671</v>
      </c>
      <c r="AI180">
        <v>1</v>
      </c>
    </row>
    <row r="181" spans="34:35" x14ac:dyDescent="0.25">
      <c r="AH181">
        <v>70</v>
      </c>
      <c r="AI181">
        <v>1</v>
      </c>
    </row>
    <row r="182" spans="34:35" x14ac:dyDescent="0.25">
      <c r="AH182">
        <f>70+1/12</f>
        <v>70.083333333333329</v>
      </c>
      <c r="AI182">
        <v>1</v>
      </c>
    </row>
    <row r="183" spans="34:35" x14ac:dyDescent="0.25">
      <c r="AH183">
        <f>70+2/12</f>
        <v>70.166666666666671</v>
      </c>
      <c r="AI183">
        <v>1</v>
      </c>
    </row>
    <row r="184" spans="34:35" x14ac:dyDescent="0.25">
      <c r="AH184">
        <f>70+3/12</f>
        <v>70.25</v>
      </c>
      <c r="AI184">
        <v>1</v>
      </c>
    </row>
    <row r="185" spans="34:35" x14ac:dyDescent="0.25">
      <c r="AH185">
        <f>70+4/12</f>
        <v>70.333333333333329</v>
      </c>
      <c r="AI185">
        <v>1</v>
      </c>
    </row>
    <row r="186" spans="34:35" x14ac:dyDescent="0.25">
      <c r="AH186">
        <f>70+5/12</f>
        <v>70.416666666666671</v>
      </c>
      <c r="AI186">
        <v>1</v>
      </c>
    </row>
    <row r="187" spans="34:35" x14ac:dyDescent="0.25">
      <c r="AH187">
        <f>70+6/12</f>
        <v>70.5</v>
      </c>
      <c r="AI187">
        <v>1</v>
      </c>
    </row>
    <row r="188" spans="34:35" x14ac:dyDescent="0.25">
      <c r="AH188">
        <f>70+7/12</f>
        <v>70.583333333333329</v>
      </c>
      <c r="AI188">
        <v>1</v>
      </c>
    </row>
    <row r="189" spans="34:35" x14ac:dyDescent="0.25">
      <c r="AH189">
        <v>70.676767676767696</v>
      </c>
      <c r="AI189">
        <v>1</v>
      </c>
    </row>
    <row r="190" spans="34:35" x14ac:dyDescent="0.25">
      <c r="AH190">
        <v>70.75</v>
      </c>
      <c r="AI190">
        <v>1</v>
      </c>
    </row>
    <row r="191" spans="34:35" x14ac:dyDescent="0.25">
      <c r="AH191">
        <v>70.8333333333333</v>
      </c>
      <c r="AI191">
        <v>1</v>
      </c>
    </row>
    <row r="192" spans="34:35" x14ac:dyDescent="0.25">
      <c r="AH192">
        <f>70+(11/12)</f>
        <v>70.916666666666671</v>
      </c>
      <c r="AI192">
        <v>1</v>
      </c>
    </row>
    <row r="193" spans="34:35" x14ac:dyDescent="0.25">
      <c r="AH193">
        <v>71</v>
      </c>
      <c r="AI193">
        <v>1</v>
      </c>
    </row>
    <row r="194" spans="34:35" x14ac:dyDescent="0.25">
      <c r="AH194">
        <f>71+1/12</f>
        <v>71.083333333333329</v>
      </c>
      <c r="AI194">
        <v>1</v>
      </c>
    </row>
    <row r="195" spans="34:35" x14ac:dyDescent="0.25">
      <c r="AH195">
        <f>71+2/12</f>
        <v>71.166666666666671</v>
      </c>
      <c r="AI195">
        <v>1</v>
      </c>
    </row>
    <row r="196" spans="34:35" x14ac:dyDescent="0.25">
      <c r="AH196">
        <f>71+3/12</f>
        <v>71.25</v>
      </c>
      <c r="AI196">
        <v>1</v>
      </c>
    </row>
    <row r="197" spans="34:35" x14ac:dyDescent="0.25">
      <c r="AH197">
        <f>71+4/12</f>
        <v>71.333333333333329</v>
      </c>
      <c r="AI197">
        <v>1</v>
      </c>
    </row>
    <row r="198" spans="34:35" x14ac:dyDescent="0.25">
      <c r="AH198">
        <f>71+5/12</f>
        <v>71.416666666666671</v>
      </c>
      <c r="AI198">
        <v>1</v>
      </c>
    </row>
    <row r="199" spans="34:35" x14ac:dyDescent="0.25">
      <c r="AH199">
        <f>71+6/12</f>
        <v>71.5</v>
      </c>
      <c r="AI199">
        <v>1</v>
      </c>
    </row>
    <row r="200" spans="34:35" x14ac:dyDescent="0.25">
      <c r="AH200">
        <f>71+7/12</f>
        <v>71.583333333333329</v>
      </c>
      <c r="AI200">
        <v>1</v>
      </c>
    </row>
    <row r="201" spans="34:35" x14ac:dyDescent="0.25">
      <c r="AH201">
        <v>71.676767676767696</v>
      </c>
      <c r="AI201">
        <v>1</v>
      </c>
    </row>
    <row r="202" spans="34:35" x14ac:dyDescent="0.25">
      <c r="AH202">
        <v>71.75</v>
      </c>
      <c r="AI202">
        <v>1</v>
      </c>
    </row>
    <row r="203" spans="34:35" x14ac:dyDescent="0.25">
      <c r="AH203">
        <v>71.8333333333333</v>
      </c>
      <c r="AI203">
        <v>1</v>
      </c>
    </row>
    <row r="204" spans="34:35" x14ac:dyDescent="0.25">
      <c r="AH204">
        <f>71+(11/12)</f>
        <v>71.916666666666671</v>
      </c>
      <c r="AI204">
        <v>1</v>
      </c>
    </row>
    <row r="205" spans="34:35" x14ac:dyDescent="0.25">
      <c r="AH205">
        <v>72</v>
      </c>
      <c r="AI205">
        <v>1</v>
      </c>
    </row>
    <row r="206" spans="34:35" x14ac:dyDescent="0.25">
      <c r="AH206">
        <f>72+1/12</f>
        <v>72.083333333333329</v>
      </c>
      <c r="AI206">
        <v>1</v>
      </c>
    </row>
    <row r="207" spans="34:35" x14ac:dyDescent="0.25">
      <c r="AH207">
        <f>72+2/12</f>
        <v>72.166666666666671</v>
      </c>
      <c r="AI207">
        <v>1</v>
      </c>
    </row>
    <row r="208" spans="34:35" x14ac:dyDescent="0.25">
      <c r="AH208">
        <f>72+3/12</f>
        <v>72.25</v>
      </c>
      <c r="AI208">
        <v>1</v>
      </c>
    </row>
    <row r="209" spans="34:35" x14ac:dyDescent="0.25">
      <c r="AH209">
        <f>72+4/12</f>
        <v>72.333333333333329</v>
      </c>
      <c r="AI209">
        <v>1</v>
      </c>
    </row>
    <row r="210" spans="34:35" x14ac:dyDescent="0.25">
      <c r="AH210">
        <f>72+5/12</f>
        <v>72.416666666666671</v>
      </c>
      <c r="AI210">
        <v>1</v>
      </c>
    </row>
    <row r="211" spans="34:35" x14ac:dyDescent="0.25">
      <c r="AH211">
        <f>72+6/12</f>
        <v>72.5</v>
      </c>
      <c r="AI211">
        <v>1</v>
      </c>
    </row>
    <row r="212" spans="34:35" x14ac:dyDescent="0.25">
      <c r="AH212">
        <f>72+7/12</f>
        <v>72.583333333333329</v>
      </c>
      <c r="AI212">
        <v>1</v>
      </c>
    </row>
    <row r="213" spans="34:35" x14ac:dyDescent="0.25">
      <c r="AH213">
        <v>72.676767676767696</v>
      </c>
      <c r="AI213">
        <v>1</v>
      </c>
    </row>
    <row r="214" spans="34:35" x14ac:dyDescent="0.25">
      <c r="AH214">
        <v>72.75</v>
      </c>
      <c r="AI214">
        <v>1</v>
      </c>
    </row>
    <row r="215" spans="34:35" x14ac:dyDescent="0.25">
      <c r="AH215">
        <v>72.8333333333333</v>
      </c>
      <c r="AI215">
        <v>1</v>
      </c>
    </row>
    <row r="216" spans="34:35" x14ac:dyDescent="0.25">
      <c r="AH216">
        <f>72+(11/12)</f>
        <v>72.916666666666671</v>
      </c>
      <c r="AI216">
        <v>1</v>
      </c>
    </row>
    <row r="217" spans="34:35" x14ac:dyDescent="0.25">
      <c r="AH217">
        <v>73</v>
      </c>
      <c r="AI217">
        <v>1</v>
      </c>
    </row>
    <row r="218" spans="34:35" x14ac:dyDescent="0.25">
      <c r="AH218">
        <f>73+1/12</f>
        <v>73.083333333333329</v>
      </c>
      <c r="AI218">
        <v>1</v>
      </c>
    </row>
    <row r="219" spans="34:35" x14ac:dyDescent="0.25">
      <c r="AH219">
        <f>73+2/12</f>
        <v>73.166666666666671</v>
      </c>
      <c r="AI219">
        <v>1</v>
      </c>
    </row>
    <row r="220" spans="34:35" x14ac:dyDescent="0.25">
      <c r="AH220">
        <f>73+3/12</f>
        <v>73.25</v>
      </c>
      <c r="AI220">
        <v>1</v>
      </c>
    </row>
    <row r="221" spans="34:35" x14ac:dyDescent="0.25">
      <c r="AH221">
        <f>73+4/12</f>
        <v>73.333333333333329</v>
      </c>
      <c r="AI221">
        <v>1</v>
      </c>
    </row>
    <row r="222" spans="34:35" x14ac:dyDescent="0.25">
      <c r="AH222">
        <f>73+5/12</f>
        <v>73.416666666666671</v>
      </c>
      <c r="AI222">
        <v>1</v>
      </c>
    </row>
    <row r="223" spans="34:35" x14ac:dyDescent="0.25">
      <c r="AH223">
        <f>73+6/12</f>
        <v>73.5</v>
      </c>
      <c r="AI223">
        <v>1</v>
      </c>
    </row>
    <row r="224" spans="34:35" x14ac:dyDescent="0.25">
      <c r="AH224">
        <f>73+7/12</f>
        <v>73.583333333333329</v>
      </c>
      <c r="AI224">
        <v>1</v>
      </c>
    </row>
    <row r="225" spans="34:35" x14ac:dyDescent="0.25">
      <c r="AH225">
        <v>73.676767676767696</v>
      </c>
      <c r="AI225">
        <v>1</v>
      </c>
    </row>
    <row r="226" spans="34:35" x14ac:dyDescent="0.25">
      <c r="AH226">
        <v>73.75</v>
      </c>
      <c r="AI226">
        <v>1</v>
      </c>
    </row>
    <row r="227" spans="34:35" x14ac:dyDescent="0.25">
      <c r="AH227">
        <v>73.8333333333333</v>
      </c>
      <c r="AI227">
        <v>1</v>
      </c>
    </row>
    <row r="228" spans="34:35" x14ac:dyDescent="0.25">
      <c r="AH228">
        <f>73+(11/12)</f>
        <v>73.916666666666671</v>
      </c>
      <c r="AI228">
        <v>1</v>
      </c>
    </row>
    <row r="229" spans="34:35" x14ac:dyDescent="0.25">
      <c r="AH229">
        <v>74</v>
      </c>
      <c r="AI229">
        <v>1</v>
      </c>
    </row>
    <row r="230" spans="34:35" x14ac:dyDescent="0.25">
      <c r="AH230">
        <f>74+1/12</f>
        <v>74.083333333333329</v>
      </c>
      <c r="AI230">
        <v>1</v>
      </c>
    </row>
    <row r="231" spans="34:35" x14ac:dyDescent="0.25">
      <c r="AH231">
        <f>74+2/12</f>
        <v>74.166666666666671</v>
      </c>
      <c r="AI231">
        <v>1</v>
      </c>
    </row>
    <row r="232" spans="34:35" x14ac:dyDescent="0.25">
      <c r="AH232">
        <f>74+3/12</f>
        <v>74.25</v>
      </c>
      <c r="AI232">
        <v>1</v>
      </c>
    </row>
    <row r="233" spans="34:35" x14ac:dyDescent="0.25">
      <c r="AH233">
        <f>74+4/12</f>
        <v>74.333333333333329</v>
      </c>
      <c r="AI233">
        <v>1</v>
      </c>
    </row>
    <row r="234" spans="34:35" x14ac:dyDescent="0.25">
      <c r="AH234">
        <f>74+5/12</f>
        <v>74.416666666666671</v>
      </c>
      <c r="AI234">
        <v>1</v>
      </c>
    </row>
    <row r="235" spans="34:35" x14ac:dyDescent="0.25">
      <c r="AH235">
        <f>74+6/12</f>
        <v>74.5</v>
      </c>
      <c r="AI235">
        <v>1</v>
      </c>
    </row>
    <row r="236" spans="34:35" x14ac:dyDescent="0.25">
      <c r="AH236">
        <f>74+7/12</f>
        <v>74.583333333333329</v>
      </c>
      <c r="AI236">
        <v>1</v>
      </c>
    </row>
    <row r="237" spans="34:35" x14ac:dyDescent="0.25">
      <c r="AH237">
        <v>74.676767676767696</v>
      </c>
      <c r="AI237">
        <v>1</v>
      </c>
    </row>
    <row r="238" spans="34:35" x14ac:dyDescent="0.25">
      <c r="AH238">
        <v>74.75</v>
      </c>
      <c r="AI238">
        <v>1</v>
      </c>
    </row>
    <row r="239" spans="34:35" x14ac:dyDescent="0.25">
      <c r="AH239">
        <v>74.8333333333333</v>
      </c>
      <c r="AI239">
        <v>1</v>
      </c>
    </row>
    <row r="240" spans="34:35" x14ac:dyDescent="0.25">
      <c r="AH240">
        <f>74+(11/12)</f>
        <v>74.916666666666671</v>
      </c>
      <c r="AI240">
        <v>1</v>
      </c>
    </row>
    <row r="241" spans="34:35" x14ac:dyDescent="0.25">
      <c r="AH241">
        <v>75</v>
      </c>
      <c r="AI241">
        <v>1</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5FB40-6EEE-4834-B3DA-08CA284DAE53}">
  <dimension ref="A1:S347"/>
  <sheetViews>
    <sheetView showGridLines="0" showRowColHeaders="0" workbookViewId="0">
      <selection activeCell="F25" sqref="F25"/>
    </sheetView>
  </sheetViews>
  <sheetFormatPr defaultRowHeight="15" x14ac:dyDescent="0.25"/>
  <cols>
    <col min="1" max="1" width="12" style="252" customWidth="1"/>
    <col min="2" max="8" width="9.140625" style="252"/>
    <col min="9" max="9" width="41.42578125" style="252" customWidth="1"/>
    <col min="10" max="10" width="39.42578125" style="252" customWidth="1"/>
    <col min="11" max="16384" width="9.140625" style="252"/>
  </cols>
  <sheetData>
    <row r="1" spans="1:19" s="213" customFormat="1" ht="33.75" x14ac:dyDescent="0.5">
      <c r="D1" s="214" t="s">
        <v>263</v>
      </c>
      <c r="E1" s="215"/>
      <c r="F1" s="215"/>
      <c r="G1" s="215"/>
      <c r="H1" s="215"/>
      <c r="I1" s="215"/>
      <c r="J1" s="215"/>
      <c r="K1" s="215"/>
      <c r="L1" s="215"/>
      <c r="M1" s="215"/>
      <c r="N1" s="215"/>
      <c r="O1" s="215"/>
      <c r="P1" s="215"/>
      <c r="Q1" s="216"/>
      <c r="R1" s="216"/>
      <c r="S1" s="216"/>
    </row>
    <row r="2" spans="1:19" s="213" customFormat="1" ht="9" customHeight="1" x14ac:dyDescent="0.25">
      <c r="A2" s="217"/>
    </row>
    <row r="3" spans="1:19" s="244" customFormat="1" ht="9" customHeight="1" x14ac:dyDescent="0.25"/>
    <row r="4" spans="1:19" s="244" customFormat="1" hidden="1" x14ac:dyDescent="0.25"/>
    <row r="5" spans="1:19" s="244" customFormat="1" ht="23.25" x14ac:dyDescent="0.25">
      <c r="B5" s="245" t="s">
        <v>229</v>
      </c>
    </row>
    <row r="6" spans="1:19" s="244" customFormat="1" x14ac:dyDescent="0.25"/>
    <row r="7" spans="1:19" s="244" customFormat="1" ht="18.75" x14ac:dyDescent="0.3">
      <c r="B7" s="246" t="s">
        <v>214</v>
      </c>
      <c r="C7" s="238"/>
      <c r="D7" s="238"/>
      <c r="E7" s="238"/>
      <c r="F7" s="238"/>
      <c r="G7" s="238"/>
      <c r="H7" s="238"/>
      <c r="I7" s="238"/>
      <c r="J7" s="238"/>
      <c r="K7" s="238"/>
      <c r="L7" s="238"/>
      <c r="M7" s="238"/>
      <c r="N7" s="238"/>
      <c r="O7" s="238"/>
      <c r="P7" s="236"/>
      <c r="Q7" s="236"/>
      <c r="R7" s="236"/>
    </row>
    <row r="8" spans="1:19" s="244" customFormat="1" ht="18.75" x14ac:dyDescent="0.3">
      <c r="B8" s="238" t="s">
        <v>267</v>
      </c>
      <c r="C8" s="238"/>
      <c r="D8" s="238"/>
      <c r="E8" s="238"/>
      <c r="F8" s="238"/>
      <c r="G8" s="238"/>
      <c r="H8" s="238"/>
      <c r="I8" s="238"/>
      <c r="J8" s="238"/>
      <c r="K8" s="238"/>
      <c r="L8" s="238"/>
      <c r="M8" s="238"/>
      <c r="N8" s="238"/>
      <c r="O8" s="238"/>
      <c r="P8" s="236"/>
      <c r="Q8" s="236"/>
      <c r="R8" s="236"/>
    </row>
    <row r="9" spans="1:19" s="244" customFormat="1" ht="18.75" x14ac:dyDescent="0.3">
      <c r="B9" s="238" t="s">
        <v>243</v>
      </c>
      <c r="C9" s="238"/>
      <c r="D9" s="238"/>
      <c r="E9" s="238"/>
      <c r="F9" s="238"/>
      <c r="G9" s="238"/>
      <c r="H9" s="238"/>
      <c r="I9" s="238"/>
      <c r="J9" s="238"/>
      <c r="K9" s="238"/>
      <c r="L9" s="238"/>
      <c r="M9" s="238"/>
      <c r="N9" s="238"/>
      <c r="O9" s="238"/>
      <c r="P9" s="236"/>
      <c r="Q9" s="236"/>
      <c r="R9" s="236"/>
    </row>
    <row r="10" spans="1:19" s="244" customFormat="1" ht="18.75" x14ac:dyDescent="0.3">
      <c r="B10" s="238" t="s">
        <v>244</v>
      </c>
      <c r="C10" s="236"/>
      <c r="D10" s="236"/>
      <c r="E10" s="236"/>
      <c r="F10" s="236"/>
      <c r="G10" s="236"/>
      <c r="H10" s="236"/>
      <c r="I10" s="236"/>
      <c r="J10" s="236"/>
      <c r="K10" s="236"/>
      <c r="L10" s="236"/>
      <c r="M10" s="236"/>
      <c r="N10" s="236"/>
      <c r="O10" s="236"/>
      <c r="P10" s="236"/>
      <c r="Q10" s="236"/>
      <c r="R10" s="236"/>
    </row>
    <row r="11" spans="1:19" s="244" customFormat="1" ht="6.75" customHeight="1" x14ac:dyDescent="0.25"/>
    <row r="12" spans="1:19" s="244" customFormat="1" ht="23.25" x14ac:dyDescent="0.25">
      <c r="B12" s="245" t="s">
        <v>174</v>
      </c>
      <c r="C12" s="236"/>
    </row>
    <row r="13" spans="1:19" s="244" customFormat="1" ht="6.75" customHeight="1" x14ac:dyDescent="0.25"/>
    <row r="14" spans="1:19" s="247" customFormat="1" ht="18.75" x14ac:dyDescent="0.3">
      <c r="B14" s="238" t="s">
        <v>248</v>
      </c>
      <c r="C14" s="236"/>
      <c r="D14" s="236"/>
      <c r="E14" s="236"/>
      <c r="F14" s="236"/>
      <c r="G14" s="236"/>
      <c r="H14" s="236"/>
      <c r="I14" s="236"/>
      <c r="J14" s="244"/>
      <c r="K14" s="244"/>
      <c r="L14" s="244"/>
      <c r="M14" s="244"/>
      <c r="N14" s="244"/>
      <c r="O14" s="244"/>
      <c r="P14" s="244"/>
      <c r="Q14" s="244"/>
      <c r="R14" s="244"/>
    </row>
    <row r="15" spans="1:19" s="247" customFormat="1" ht="9" customHeight="1" x14ac:dyDescent="0.3">
      <c r="B15" s="236"/>
      <c r="C15" s="236"/>
      <c r="D15" s="236"/>
      <c r="E15" s="236"/>
      <c r="F15" s="236"/>
      <c r="G15" s="236"/>
      <c r="H15" s="236"/>
      <c r="I15" s="236"/>
      <c r="J15" s="244"/>
      <c r="K15" s="244"/>
      <c r="L15" s="244"/>
      <c r="M15" s="244"/>
      <c r="N15" s="244"/>
      <c r="O15" s="244"/>
      <c r="P15" s="244"/>
      <c r="Q15" s="244"/>
      <c r="R15" s="244"/>
    </row>
    <row r="16" spans="1:19" s="244" customFormat="1" ht="18.75" x14ac:dyDescent="0.3">
      <c r="B16" s="246" t="s">
        <v>215</v>
      </c>
      <c r="C16" s="238"/>
      <c r="D16" s="238"/>
      <c r="E16" s="238"/>
      <c r="F16" s="238"/>
      <c r="G16" s="238"/>
      <c r="H16" s="238"/>
      <c r="I16" s="238"/>
      <c r="J16" s="247"/>
      <c r="K16" s="247"/>
      <c r="L16" s="247"/>
      <c r="M16" s="247"/>
      <c r="N16" s="247"/>
      <c r="O16" s="247"/>
      <c r="P16" s="247"/>
      <c r="Q16" s="247"/>
      <c r="R16" s="247"/>
    </row>
    <row r="17" spans="2:18" s="244" customFormat="1" ht="18.75" x14ac:dyDescent="0.3">
      <c r="B17" s="238" t="s">
        <v>216</v>
      </c>
      <c r="C17" s="238"/>
      <c r="D17" s="238"/>
      <c r="E17" s="238"/>
      <c r="F17" s="238"/>
      <c r="G17" s="238"/>
      <c r="H17" s="238"/>
      <c r="I17" s="238"/>
      <c r="J17" s="247"/>
      <c r="K17" s="247"/>
      <c r="L17" s="247"/>
      <c r="M17" s="247"/>
      <c r="N17" s="247"/>
      <c r="O17" s="247"/>
      <c r="P17" s="247"/>
      <c r="Q17" s="247"/>
      <c r="R17" s="247"/>
    </row>
    <row r="18" spans="2:18" s="244" customFormat="1" ht="18.75" x14ac:dyDescent="0.3">
      <c r="B18" s="238" t="s">
        <v>268</v>
      </c>
      <c r="C18" s="248"/>
      <c r="D18" s="238"/>
      <c r="E18" s="238"/>
      <c r="F18" s="238"/>
      <c r="G18" s="238"/>
      <c r="H18" s="238"/>
      <c r="I18" s="238"/>
      <c r="J18" s="247"/>
      <c r="K18" s="247"/>
    </row>
    <row r="19" spans="2:18" s="244" customFormat="1" ht="18.75" x14ac:dyDescent="0.3">
      <c r="B19" s="238" t="s">
        <v>270</v>
      </c>
      <c r="C19" s="236"/>
      <c r="D19" s="236"/>
      <c r="E19" s="236"/>
      <c r="F19" s="236"/>
      <c r="G19" s="236"/>
      <c r="H19" s="236"/>
      <c r="I19" s="236"/>
    </row>
    <row r="20" spans="2:18" s="244" customFormat="1" ht="18.75" x14ac:dyDescent="0.3">
      <c r="B20" s="238" t="s">
        <v>271</v>
      </c>
      <c r="C20" s="236"/>
      <c r="D20" s="236"/>
      <c r="E20" s="236"/>
      <c r="F20" s="236"/>
      <c r="G20" s="236"/>
      <c r="H20" s="236"/>
      <c r="I20" s="236"/>
    </row>
    <row r="21" spans="2:18" s="244" customFormat="1" ht="18.75" x14ac:dyDescent="0.3">
      <c r="B21" s="238" t="s">
        <v>272</v>
      </c>
      <c r="C21" s="236"/>
      <c r="D21" s="236"/>
      <c r="E21" s="236"/>
      <c r="F21" s="236"/>
      <c r="G21" s="236"/>
      <c r="H21" s="236"/>
      <c r="I21" s="236"/>
    </row>
    <row r="22" spans="2:18" s="244" customFormat="1" ht="18.75" x14ac:dyDescent="0.3">
      <c r="B22" s="238" t="s">
        <v>245</v>
      </c>
      <c r="C22" s="236"/>
      <c r="D22" s="236"/>
      <c r="E22" s="236"/>
      <c r="F22" s="236"/>
      <c r="G22" s="236"/>
      <c r="H22" s="236"/>
      <c r="I22" s="236"/>
    </row>
    <row r="23" spans="2:18" s="244" customFormat="1" ht="18.75" x14ac:dyDescent="0.3">
      <c r="B23" s="238" t="s">
        <v>273</v>
      </c>
      <c r="C23" s="236"/>
      <c r="D23" s="236"/>
      <c r="E23" s="236"/>
      <c r="F23" s="236"/>
      <c r="G23" s="236"/>
      <c r="H23" s="236"/>
      <c r="I23" s="236"/>
    </row>
    <row r="24" spans="2:18" s="244" customFormat="1" ht="18.75" x14ac:dyDescent="0.3">
      <c r="B24" s="238"/>
      <c r="C24" s="236"/>
      <c r="D24" s="236"/>
      <c r="E24" s="236"/>
      <c r="F24" s="236"/>
      <c r="G24" s="236"/>
      <c r="H24" s="236"/>
      <c r="I24" s="236"/>
    </row>
    <row r="25" spans="2:18" s="244" customFormat="1" ht="18.75" x14ac:dyDescent="0.25">
      <c r="B25" s="246" t="s">
        <v>217</v>
      </c>
      <c r="C25" s="236"/>
      <c r="D25" s="236"/>
      <c r="E25" s="236"/>
      <c r="F25" s="236"/>
      <c r="G25" s="236"/>
      <c r="H25" s="236"/>
      <c r="I25" s="236"/>
    </row>
    <row r="26" spans="2:18" s="244" customFormat="1" ht="18.75" x14ac:dyDescent="0.3">
      <c r="B26" s="238" t="s">
        <v>218</v>
      </c>
      <c r="C26" s="236"/>
      <c r="D26" s="236"/>
      <c r="E26" s="236"/>
      <c r="F26" s="236"/>
      <c r="G26" s="236"/>
      <c r="H26" s="236"/>
      <c r="I26" s="236"/>
    </row>
    <row r="27" spans="2:18" s="244" customFormat="1" x14ac:dyDescent="0.25">
      <c r="B27" s="249"/>
      <c r="C27" s="236"/>
      <c r="D27" s="236"/>
      <c r="E27" s="236"/>
      <c r="F27" s="236"/>
      <c r="G27" s="236"/>
      <c r="H27" s="236"/>
      <c r="I27" s="236"/>
    </row>
    <row r="28" spans="2:18" s="244" customFormat="1" x14ac:dyDescent="0.25">
      <c r="B28" s="250"/>
      <c r="C28" s="236"/>
      <c r="D28" s="236"/>
      <c r="E28" s="236"/>
      <c r="F28" s="236"/>
      <c r="G28" s="236"/>
      <c r="H28" s="236"/>
      <c r="I28" s="236"/>
    </row>
    <row r="29" spans="2:18" s="244" customFormat="1" ht="21" x14ac:dyDescent="0.35">
      <c r="B29" s="238" t="s">
        <v>224</v>
      </c>
      <c r="C29" s="236"/>
      <c r="D29" s="236"/>
      <c r="E29" s="236"/>
      <c r="F29" s="236"/>
      <c r="G29" s="236"/>
      <c r="H29" s="236"/>
      <c r="I29" s="236"/>
      <c r="J29" s="251" t="s">
        <v>231</v>
      </c>
      <c r="K29" s="218"/>
      <c r="L29" s="218"/>
      <c r="M29" s="218"/>
      <c r="N29" s="218"/>
    </row>
    <row r="30" spans="2:18" s="244" customFormat="1" x14ac:dyDescent="0.25"/>
    <row r="31" spans="2:18" s="244" customFormat="1" x14ac:dyDescent="0.25"/>
    <row r="32" spans="2:18" s="244" customFormat="1" x14ac:dyDescent="0.25"/>
    <row r="33" s="244" customFormat="1" x14ac:dyDescent="0.25"/>
    <row r="34" s="244" customFormat="1" x14ac:dyDescent="0.25"/>
    <row r="35" s="244" customFormat="1" x14ac:dyDescent="0.25"/>
    <row r="36" s="244" customFormat="1" x14ac:dyDescent="0.25"/>
    <row r="37" s="244" customFormat="1" x14ac:dyDescent="0.25"/>
    <row r="38" s="244" customFormat="1" x14ac:dyDescent="0.25"/>
    <row r="39" s="244" customFormat="1" x14ac:dyDescent="0.25"/>
    <row r="40" s="244" customFormat="1" x14ac:dyDescent="0.25"/>
    <row r="41" s="244" customFormat="1" x14ac:dyDescent="0.25"/>
    <row r="42" s="244" customFormat="1" x14ac:dyDescent="0.25"/>
    <row r="43" s="244" customFormat="1" x14ac:dyDescent="0.25"/>
    <row r="44" s="244" customFormat="1" x14ac:dyDescent="0.25"/>
    <row r="45" s="244" customFormat="1" x14ac:dyDescent="0.25"/>
    <row r="46" s="244" customFormat="1" x14ac:dyDescent="0.25"/>
    <row r="47" s="244" customFormat="1" x14ac:dyDescent="0.25"/>
    <row r="48" s="244" customFormat="1" x14ac:dyDescent="0.25"/>
    <row r="49" s="244" customFormat="1" x14ac:dyDescent="0.25"/>
    <row r="50" s="244" customFormat="1" x14ac:dyDescent="0.25"/>
    <row r="51" s="244" customFormat="1" x14ac:dyDescent="0.25"/>
    <row r="52" s="244" customFormat="1" x14ac:dyDescent="0.25"/>
    <row r="53" s="244" customFormat="1" x14ac:dyDescent="0.25"/>
    <row r="54" s="244" customFormat="1" x14ac:dyDescent="0.25"/>
    <row r="55" s="244" customFormat="1" x14ac:dyDescent="0.25"/>
    <row r="56" s="244" customFormat="1" x14ac:dyDescent="0.25"/>
    <row r="57" s="244" customFormat="1" x14ac:dyDescent="0.25"/>
    <row r="58" s="244" customFormat="1" x14ac:dyDescent="0.25"/>
    <row r="59" s="244" customFormat="1" x14ac:dyDescent="0.25"/>
    <row r="60" s="244" customFormat="1" x14ac:dyDescent="0.25"/>
    <row r="61" s="244" customFormat="1" x14ac:dyDescent="0.25"/>
    <row r="62" s="244" customFormat="1" x14ac:dyDescent="0.25"/>
    <row r="63" s="244" customFormat="1" x14ac:dyDescent="0.25"/>
    <row r="64" s="244" customFormat="1" x14ac:dyDescent="0.25"/>
    <row r="65" s="244" customFormat="1" x14ac:dyDescent="0.25"/>
    <row r="66" s="244" customFormat="1" x14ac:dyDescent="0.25"/>
    <row r="67" s="244" customFormat="1" x14ac:dyDescent="0.25"/>
    <row r="68" s="244" customFormat="1" x14ac:dyDescent="0.25"/>
    <row r="69" s="244" customFormat="1" x14ac:dyDescent="0.25"/>
    <row r="70" s="244" customFormat="1" x14ac:dyDescent="0.25"/>
    <row r="71" s="244" customFormat="1" x14ac:dyDescent="0.25"/>
    <row r="72" s="244" customFormat="1" x14ac:dyDescent="0.25"/>
    <row r="73" s="244" customFormat="1" x14ac:dyDescent="0.25"/>
    <row r="74" s="244" customFormat="1" x14ac:dyDescent="0.25"/>
    <row r="75" s="244" customFormat="1" x14ac:dyDescent="0.25"/>
    <row r="76" s="244" customFormat="1" x14ac:dyDescent="0.25"/>
    <row r="77" s="244" customFormat="1" x14ac:dyDescent="0.25"/>
    <row r="78" s="244" customFormat="1" x14ac:dyDescent="0.25"/>
    <row r="79" s="244" customFormat="1" x14ac:dyDescent="0.25"/>
    <row r="80" s="244" customFormat="1" x14ac:dyDescent="0.25"/>
    <row r="81" s="244" customFormat="1" x14ac:dyDescent="0.25"/>
    <row r="82" s="244" customFormat="1" x14ac:dyDescent="0.25"/>
    <row r="83" s="244" customFormat="1" x14ac:dyDescent="0.25"/>
    <row r="84" s="244" customFormat="1" x14ac:dyDescent="0.25"/>
    <row r="85" s="244" customFormat="1" x14ac:dyDescent="0.25"/>
    <row r="86" s="244" customFormat="1" x14ac:dyDescent="0.25"/>
    <row r="87" s="244" customFormat="1" x14ac:dyDescent="0.25"/>
    <row r="88" s="244" customFormat="1" x14ac:dyDescent="0.25"/>
    <row r="89" s="244" customFormat="1" x14ac:dyDescent="0.25"/>
    <row r="90" s="244" customFormat="1" x14ac:dyDescent="0.25"/>
    <row r="91" s="244" customFormat="1" x14ac:dyDescent="0.25"/>
    <row r="92" s="244" customFormat="1" x14ac:dyDescent="0.25"/>
    <row r="93" s="244" customFormat="1" x14ac:dyDescent="0.25"/>
    <row r="94" s="244" customFormat="1" x14ac:dyDescent="0.25"/>
    <row r="95" s="244" customFormat="1" x14ac:dyDescent="0.25"/>
    <row r="96" s="244" customFormat="1" x14ac:dyDescent="0.25"/>
    <row r="97" s="244" customFormat="1" x14ac:dyDescent="0.25"/>
    <row r="98" s="244" customFormat="1" x14ac:dyDescent="0.25"/>
    <row r="99" s="244" customFormat="1" x14ac:dyDescent="0.25"/>
    <row r="100" s="244" customFormat="1" x14ac:dyDescent="0.25"/>
    <row r="101" s="244" customFormat="1" x14ac:dyDescent="0.25"/>
    <row r="102" s="244" customFormat="1" x14ac:dyDescent="0.25"/>
    <row r="103" s="244" customFormat="1" x14ac:dyDescent="0.25"/>
    <row r="104" s="244" customFormat="1" x14ac:dyDescent="0.25"/>
    <row r="105" s="244" customFormat="1" x14ac:dyDescent="0.25"/>
    <row r="106" s="244" customFormat="1" x14ac:dyDescent="0.25"/>
    <row r="107" s="244" customFormat="1" x14ac:dyDescent="0.25"/>
    <row r="108" s="244" customFormat="1" x14ac:dyDescent="0.25"/>
    <row r="109" s="244" customFormat="1" x14ac:dyDescent="0.25"/>
    <row r="110" s="244" customFormat="1" x14ac:dyDescent="0.25"/>
    <row r="111" s="244" customFormat="1" x14ac:dyDescent="0.25"/>
    <row r="112" s="244" customFormat="1" x14ac:dyDescent="0.25"/>
    <row r="113" s="244" customFormat="1" x14ac:dyDescent="0.25"/>
    <row r="114" s="244" customFormat="1" x14ac:dyDescent="0.25"/>
    <row r="115" s="244" customFormat="1" x14ac:dyDescent="0.25"/>
    <row r="116" s="244" customFormat="1" x14ac:dyDescent="0.25"/>
    <row r="117" s="244" customFormat="1" x14ac:dyDescent="0.25"/>
    <row r="118" s="244" customFormat="1" x14ac:dyDescent="0.25"/>
    <row r="119" s="244" customFormat="1" x14ac:dyDescent="0.25"/>
    <row r="120" s="244" customFormat="1" x14ac:dyDescent="0.25"/>
    <row r="121" s="244" customFormat="1" x14ac:dyDescent="0.25"/>
    <row r="122" s="244" customFormat="1" x14ac:dyDescent="0.25"/>
    <row r="123" s="244" customFormat="1" x14ac:dyDescent="0.25"/>
    <row r="124" s="244" customFormat="1" x14ac:dyDescent="0.25"/>
    <row r="125" s="244" customFormat="1" x14ac:dyDescent="0.25"/>
    <row r="126" s="244" customFormat="1" x14ac:dyDescent="0.25"/>
    <row r="127" s="244" customFormat="1" x14ac:dyDescent="0.25"/>
    <row r="128" s="244" customFormat="1" x14ac:dyDescent="0.25"/>
    <row r="129" s="244" customFormat="1" x14ac:dyDescent="0.25"/>
    <row r="130" s="244" customFormat="1" x14ac:dyDescent="0.25"/>
    <row r="131" s="244" customFormat="1" x14ac:dyDescent="0.25"/>
    <row r="132" s="244" customFormat="1" x14ac:dyDescent="0.25"/>
    <row r="133" s="244" customFormat="1" x14ac:dyDescent="0.25"/>
    <row r="134" s="244" customFormat="1" x14ac:dyDescent="0.25"/>
    <row r="135" s="244" customFormat="1" x14ac:dyDescent="0.25"/>
    <row r="136" s="244" customFormat="1" x14ac:dyDescent="0.25"/>
    <row r="137" s="244" customFormat="1" x14ac:dyDescent="0.25"/>
    <row r="138" s="244" customFormat="1" x14ac:dyDescent="0.25"/>
    <row r="139" s="244" customFormat="1" x14ac:dyDescent="0.25"/>
    <row r="140" s="244" customFormat="1" x14ac:dyDescent="0.25"/>
    <row r="141" s="244" customFormat="1" x14ac:dyDescent="0.25"/>
    <row r="142" s="244" customFormat="1" x14ac:dyDescent="0.25"/>
    <row r="143" s="244" customFormat="1" x14ac:dyDescent="0.25"/>
    <row r="144" s="244" customFormat="1" x14ac:dyDescent="0.25"/>
    <row r="145" s="244" customFormat="1" x14ac:dyDescent="0.25"/>
    <row r="146" s="244" customFormat="1" x14ac:dyDescent="0.25"/>
    <row r="147" s="244" customFormat="1" x14ac:dyDescent="0.25"/>
    <row r="148" s="244" customFormat="1" x14ac:dyDescent="0.25"/>
    <row r="149" s="244" customFormat="1" x14ac:dyDescent="0.25"/>
    <row r="150" s="244" customFormat="1" x14ac:dyDescent="0.25"/>
    <row r="151" s="244" customFormat="1" x14ac:dyDescent="0.25"/>
    <row r="152" s="244" customFormat="1" x14ac:dyDescent="0.25"/>
    <row r="153" s="244" customFormat="1" x14ac:dyDescent="0.25"/>
    <row r="154" s="244" customFormat="1" x14ac:dyDescent="0.25"/>
    <row r="155" s="244" customFormat="1" x14ac:dyDescent="0.25"/>
    <row r="156" s="244" customFormat="1" x14ac:dyDescent="0.25"/>
    <row r="157" s="244" customFormat="1" x14ac:dyDescent="0.25"/>
    <row r="158" s="244" customFormat="1" x14ac:dyDescent="0.25"/>
    <row r="159" s="244" customFormat="1" x14ac:dyDescent="0.25"/>
    <row r="160" s="244" customFormat="1" x14ac:dyDescent="0.25"/>
    <row r="161" s="244" customFormat="1" x14ac:dyDescent="0.25"/>
    <row r="162" s="244" customFormat="1" x14ac:dyDescent="0.25"/>
    <row r="163" s="244" customFormat="1" x14ac:dyDescent="0.25"/>
    <row r="164" s="244" customFormat="1" x14ac:dyDescent="0.25"/>
    <row r="165" s="244" customFormat="1" x14ac:dyDescent="0.25"/>
    <row r="166" s="244" customFormat="1" x14ac:dyDescent="0.25"/>
    <row r="167" s="244" customFormat="1" x14ac:dyDescent="0.25"/>
    <row r="168" s="244" customFormat="1" x14ac:dyDescent="0.25"/>
    <row r="169" s="244" customFormat="1" x14ac:dyDescent="0.25"/>
    <row r="170" s="244" customFormat="1" x14ac:dyDescent="0.25"/>
    <row r="171" s="244" customFormat="1" x14ac:dyDescent="0.25"/>
    <row r="172" s="244" customFormat="1" x14ac:dyDescent="0.25"/>
    <row r="173" s="244" customFormat="1" x14ac:dyDescent="0.25"/>
    <row r="174" s="244" customFormat="1" x14ac:dyDescent="0.25"/>
    <row r="175" s="244" customFormat="1" x14ac:dyDescent="0.25"/>
    <row r="176" s="244" customFormat="1" x14ac:dyDescent="0.25"/>
    <row r="177" s="244" customFormat="1" x14ac:dyDescent="0.25"/>
    <row r="178" s="244" customFormat="1" x14ac:dyDescent="0.25"/>
    <row r="179" s="244" customFormat="1" x14ac:dyDescent="0.25"/>
    <row r="180" s="244" customFormat="1" x14ac:dyDescent="0.25"/>
    <row r="181" s="244" customFormat="1" x14ac:dyDescent="0.25"/>
    <row r="182" s="244" customFormat="1" x14ac:dyDescent="0.25"/>
    <row r="183" s="244" customFormat="1" x14ac:dyDescent="0.25"/>
    <row r="184" s="244" customFormat="1" x14ac:dyDescent="0.25"/>
    <row r="185" s="244" customFormat="1" x14ac:dyDescent="0.25"/>
    <row r="186" s="244" customFormat="1" x14ac:dyDescent="0.25"/>
    <row r="187" s="244" customFormat="1" x14ac:dyDescent="0.25"/>
    <row r="188" s="244" customFormat="1" x14ac:dyDescent="0.25"/>
    <row r="189" s="244" customFormat="1" x14ac:dyDescent="0.25"/>
    <row r="190" s="244" customFormat="1" x14ac:dyDescent="0.25"/>
    <row r="191" s="244" customFormat="1" x14ac:dyDescent="0.25"/>
    <row r="192" s="244" customFormat="1" x14ac:dyDescent="0.25"/>
    <row r="193" s="244" customFormat="1" x14ac:dyDescent="0.25"/>
    <row r="194" s="244" customFormat="1" x14ac:dyDescent="0.25"/>
    <row r="195" s="244" customFormat="1" x14ac:dyDescent="0.25"/>
    <row r="196" s="244" customFormat="1" x14ac:dyDescent="0.25"/>
    <row r="197" s="244" customFormat="1" x14ac:dyDescent="0.25"/>
    <row r="198" s="244" customFormat="1" x14ac:dyDescent="0.25"/>
    <row r="199" s="244" customFormat="1" x14ac:dyDescent="0.25"/>
    <row r="200" s="244" customFormat="1" x14ac:dyDescent="0.25"/>
    <row r="201" s="244" customFormat="1" x14ac:dyDescent="0.25"/>
    <row r="202" s="244" customFormat="1" x14ac:dyDescent="0.25"/>
    <row r="203" s="244" customFormat="1" x14ac:dyDescent="0.25"/>
    <row r="204" s="244" customFormat="1" x14ac:dyDescent="0.25"/>
    <row r="205" s="244" customFormat="1" x14ac:dyDescent="0.25"/>
    <row r="206" s="244" customFormat="1" x14ac:dyDescent="0.25"/>
    <row r="207" s="244" customFormat="1" x14ac:dyDescent="0.25"/>
    <row r="208" s="244" customFormat="1" x14ac:dyDescent="0.25"/>
    <row r="209" s="244" customFormat="1" x14ac:dyDescent="0.25"/>
    <row r="210" s="244" customFormat="1" x14ac:dyDescent="0.25"/>
    <row r="211" s="244" customFormat="1" x14ac:dyDescent="0.25"/>
    <row r="212" s="244" customFormat="1" x14ac:dyDescent="0.25"/>
    <row r="213" s="244" customFormat="1" x14ac:dyDescent="0.25"/>
    <row r="214" s="244" customFormat="1" x14ac:dyDescent="0.25"/>
    <row r="215" s="244" customFormat="1" x14ac:dyDescent="0.25"/>
    <row r="216" s="244" customFormat="1" x14ac:dyDescent="0.25"/>
    <row r="217" s="244" customFormat="1" x14ac:dyDescent="0.25"/>
    <row r="218" s="244" customFormat="1" x14ac:dyDescent="0.25"/>
    <row r="219" s="244" customFormat="1" x14ac:dyDescent="0.25"/>
    <row r="220" s="244" customFormat="1" x14ac:dyDescent="0.25"/>
    <row r="221" s="244" customFormat="1" x14ac:dyDescent="0.25"/>
    <row r="222" s="244" customFormat="1" x14ac:dyDescent="0.25"/>
    <row r="223" s="244" customFormat="1" x14ac:dyDescent="0.25"/>
    <row r="224" s="244" customFormat="1" x14ac:dyDescent="0.25"/>
    <row r="225" s="244" customFormat="1" x14ac:dyDescent="0.25"/>
    <row r="226" s="244" customFormat="1" x14ac:dyDescent="0.25"/>
    <row r="227" s="244" customFormat="1" x14ac:dyDescent="0.25"/>
    <row r="228" s="244" customFormat="1" x14ac:dyDescent="0.25"/>
    <row r="229" s="244" customFormat="1" x14ac:dyDescent="0.25"/>
    <row r="230" s="244" customFormat="1" x14ac:dyDescent="0.25"/>
    <row r="231" s="244" customFormat="1" x14ac:dyDescent="0.25"/>
    <row r="232" s="244" customFormat="1" x14ac:dyDescent="0.25"/>
    <row r="233" s="244" customFormat="1" x14ac:dyDescent="0.25"/>
    <row r="234" s="244" customFormat="1" x14ac:dyDescent="0.25"/>
    <row r="235" s="244" customFormat="1" x14ac:dyDescent="0.25"/>
    <row r="236" s="244" customFormat="1" x14ac:dyDescent="0.25"/>
    <row r="237" s="244" customFormat="1" x14ac:dyDescent="0.25"/>
    <row r="238" s="244" customFormat="1" x14ac:dyDescent="0.25"/>
    <row r="239" s="244" customFormat="1" x14ac:dyDescent="0.25"/>
    <row r="240" s="244" customFormat="1" x14ac:dyDescent="0.25"/>
    <row r="241" s="244" customFormat="1" x14ac:dyDescent="0.25"/>
    <row r="242" s="244" customFormat="1" x14ac:dyDescent="0.25"/>
    <row r="243" s="244" customFormat="1" x14ac:dyDescent="0.25"/>
    <row r="244" s="244" customFormat="1" x14ac:dyDescent="0.25"/>
    <row r="245" s="244" customFormat="1" x14ac:dyDescent="0.25"/>
    <row r="246" s="244" customFormat="1" x14ac:dyDescent="0.25"/>
    <row r="247" s="244" customFormat="1" x14ac:dyDescent="0.25"/>
    <row r="248" s="244" customFormat="1" x14ac:dyDescent="0.25"/>
    <row r="249" s="244" customFormat="1" x14ac:dyDescent="0.25"/>
    <row r="250" s="244" customFormat="1" x14ac:dyDescent="0.25"/>
    <row r="251" s="244" customFormat="1" x14ac:dyDescent="0.25"/>
    <row r="252" s="244" customFormat="1" x14ac:dyDescent="0.25"/>
    <row r="253" s="244" customFormat="1" x14ac:dyDescent="0.25"/>
    <row r="254" s="244" customFormat="1" x14ac:dyDescent="0.25"/>
    <row r="255" s="244" customFormat="1" x14ac:dyDescent="0.25"/>
    <row r="256" s="244" customFormat="1" x14ac:dyDescent="0.25"/>
    <row r="257" s="244" customFormat="1" x14ac:dyDescent="0.25"/>
    <row r="258" s="244" customFormat="1" x14ac:dyDescent="0.25"/>
    <row r="259" s="244" customFormat="1" x14ac:dyDescent="0.25"/>
    <row r="260" s="244" customFormat="1" x14ac:dyDescent="0.25"/>
    <row r="261" s="244" customFormat="1" x14ac:dyDescent="0.25"/>
    <row r="262" s="244" customFormat="1" x14ac:dyDescent="0.25"/>
    <row r="263" s="244" customFormat="1" x14ac:dyDescent="0.25"/>
    <row r="264" s="244" customFormat="1" x14ac:dyDescent="0.25"/>
    <row r="265" s="244" customFormat="1" x14ac:dyDescent="0.25"/>
    <row r="266" s="244" customFormat="1" x14ac:dyDescent="0.25"/>
    <row r="267" s="244" customFormat="1" x14ac:dyDescent="0.25"/>
    <row r="268" s="244" customFormat="1" x14ac:dyDescent="0.25"/>
    <row r="269" s="244" customFormat="1" x14ac:dyDescent="0.25"/>
    <row r="270" s="244" customFormat="1" x14ac:dyDescent="0.25"/>
    <row r="271" s="244" customFormat="1" x14ac:dyDescent="0.25"/>
    <row r="272" s="244" customFormat="1" x14ac:dyDescent="0.25"/>
    <row r="273" s="244" customFormat="1" x14ac:dyDescent="0.25"/>
    <row r="274" s="244" customFormat="1" x14ac:dyDescent="0.25"/>
    <row r="275" s="244" customFormat="1" x14ac:dyDescent="0.25"/>
    <row r="276" s="244" customFormat="1" x14ac:dyDescent="0.25"/>
    <row r="277" s="244" customFormat="1" x14ac:dyDescent="0.25"/>
    <row r="278" s="244" customFormat="1" x14ac:dyDescent="0.25"/>
    <row r="279" s="244" customFormat="1" x14ac:dyDescent="0.25"/>
    <row r="280" s="244" customFormat="1" x14ac:dyDescent="0.25"/>
    <row r="281" s="244" customFormat="1" x14ac:dyDescent="0.25"/>
    <row r="282" s="244" customFormat="1" x14ac:dyDescent="0.25"/>
    <row r="283" s="244" customFormat="1" x14ac:dyDescent="0.25"/>
    <row r="284" s="244" customFormat="1" x14ac:dyDescent="0.25"/>
    <row r="285" s="244" customFormat="1" x14ac:dyDescent="0.25"/>
    <row r="286" s="244" customFormat="1" x14ac:dyDescent="0.25"/>
    <row r="287" s="244" customFormat="1" x14ac:dyDescent="0.25"/>
    <row r="288" s="244" customFormat="1" x14ac:dyDescent="0.25"/>
    <row r="289" s="244" customFormat="1" x14ac:dyDescent="0.25"/>
    <row r="290" s="244" customFormat="1" x14ac:dyDescent="0.25"/>
    <row r="291" s="244" customFormat="1" x14ac:dyDescent="0.25"/>
    <row r="292" s="244" customFormat="1" x14ac:dyDescent="0.25"/>
    <row r="293" s="244" customFormat="1" x14ac:dyDescent="0.25"/>
    <row r="294" s="244" customFormat="1" x14ac:dyDescent="0.25"/>
    <row r="295" s="244" customFormat="1" x14ac:dyDescent="0.25"/>
    <row r="296" s="244" customFormat="1" x14ac:dyDescent="0.25"/>
    <row r="297" s="244" customFormat="1" x14ac:dyDescent="0.25"/>
    <row r="298" s="244" customFormat="1" x14ac:dyDescent="0.25"/>
    <row r="299" s="244" customFormat="1" x14ac:dyDescent="0.25"/>
    <row r="300" s="244" customFormat="1" x14ac:dyDescent="0.25"/>
    <row r="301" s="244" customFormat="1" x14ac:dyDescent="0.25"/>
    <row r="302" s="244" customFormat="1" x14ac:dyDescent="0.25"/>
    <row r="303" s="244" customFormat="1" x14ac:dyDescent="0.25"/>
    <row r="304" s="244" customFormat="1" x14ac:dyDescent="0.25"/>
    <row r="305" s="244" customFormat="1" x14ac:dyDescent="0.25"/>
    <row r="306" s="244" customFormat="1" x14ac:dyDescent="0.25"/>
    <row r="307" s="244" customFormat="1" x14ac:dyDescent="0.25"/>
    <row r="308" s="244" customFormat="1" x14ac:dyDescent="0.25"/>
    <row r="309" s="244" customFormat="1" x14ac:dyDescent="0.25"/>
    <row r="310" s="244" customFormat="1" x14ac:dyDescent="0.25"/>
    <row r="311" s="244" customFormat="1" x14ac:dyDescent="0.25"/>
    <row r="312" s="244" customFormat="1" x14ac:dyDescent="0.25"/>
    <row r="313" s="244" customFormat="1" x14ac:dyDescent="0.25"/>
    <row r="314" s="244" customFormat="1" x14ac:dyDescent="0.25"/>
    <row r="315" s="244" customFormat="1" x14ac:dyDescent="0.25"/>
    <row r="316" s="244" customFormat="1" x14ac:dyDescent="0.25"/>
    <row r="317" s="244" customFormat="1" x14ac:dyDescent="0.25"/>
    <row r="318" s="244" customFormat="1" x14ac:dyDescent="0.25"/>
    <row r="319" s="244" customFormat="1" x14ac:dyDescent="0.25"/>
    <row r="320" s="244" customFormat="1" x14ac:dyDescent="0.25"/>
    <row r="321" s="244" customFormat="1" x14ac:dyDescent="0.25"/>
    <row r="322" s="244" customFormat="1" x14ac:dyDescent="0.25"/>
    <row r="323" s="244" customFormat="1" x14ac:dyDescent="0.25"/>
    <row r="324" s="244" customFormat="1" x14ac:dyDescent="0.25"/>
    <row r="325" s="244" customFormat="1" x14ac:dyDescent="0.25"/>
    <row r="326" s="244" customFormat="1" x14ac:dyDescent="0.25"/>
    <row r="327" s="244" customFormat="1" x14ac:dyDescent="0.25"/>
    <row r="328" s="244" customFormat="1" x14ac:dyDescent="0.25"/>
    <row r="329" s="244" customFormat="1" x14ac:dyDescent="0.25"/>
    <row r="330" s="244" customFormat="1" x14ac:dyDescent="0.25"/>
    <row r="331" s="244" customFormat="1" x14ac:dyDescent="0.25"/>
    <row r="332" s="244" customFormat="1" x14ac:dyDescent="0.25"/>
    <row r="333" s="244" customFormat="1" x14ac:dyDescent="0.25"/>
    <row r="334" s="244" customFormat="1" x14ac:dyDescent="0.25"/>
    <row r="335" s="244" customFormat="1" x14ac:dyDescent="0.25"/>
    <row r="336" s="244" customFormat="1" x14ac:dyDescent="0.25"/>
    <row r="337" s="244" customFormat="1" x14ac:dyDescent="0.25"/>
    <row r="338" s="244" customFormat="1" x14ac:dyDescent="0.25"/>
    <row r="339" s="244" customFormat="1" x14ac:dyDescent="0.25"/>
    <row r="340" s="244" customFormat="1" x14ac:dyDescent="0.25"/>
    <row r="341" s="244" customFormat="1" x14ac:dyDescent="0.25"/>
    <row r="342" s="244" customFormat="1" x14ac:dyDescent="0.25"/>
    <row r="343" s="244" customFormat="1" x14ac:dyDescent="0.25"/>
    <row r="344" s="244" customFormat="1" x14ac:dyDescent="0.25"/>
    <row r="345" s="244" customFormat="1" x14ac:dyDescent="0.25"/>
    <row r="346" s="244" customFormat="1" x14ac:dyDescent="0.25"/>
    <row r="347" s="244" customFormat="1" x14ac:dyDescent="0.25"/>
  </sheetData>
  <sheetProtection algorithmName="SHA-512" hashValue="SNfLdMtegD+O9+5P4N2xcqRASSVvQPPGOu1m34c828v79mzz1hoMtXm80FphC8HU7JcgO67CTeXsPMYL02OsjA==" saltValue="M3WLJUu0pQcPdjnzMVI6xw==" spinCount="100000" sheet="1" objects="1" scenarios="1"/>
  <hyperlinks>
    <hyperlink ref="J29" location="'Age at Retirement'!A1" display="Proceed to Age at Retirement" xr:uid="{6C406BCD-521C-4E2D-AFFD-CE233ABB0241}"/>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954FF-7F5A-4FCE-B27E-7CD06EE243EA}">
  <dimension ref="A1:AB37"/>
  <sheetViews>
    <sheetView showGridLines="0" showRowColHeaders="0" zoomScale="120" zoomScaleNormal="120" workbookViewId="0">
      <selection activeCell="K22" sqref="K22"/>
    </sheetView>
  </sheetViews>
  <sheetFormatPr defaultRowHeight="15" x14ac:dyDescent="0.25"/>
  <cols>
    <col min="1" max="3" width="9.140625" style="218"/>
    <col min="4" max="4" width="12" style="218" customWidth="1"/>
    <col min="5" max="10" width="9.140625" style="218"/>
    <col min="11" max="11" width="50.7109375" style="218" customWidth="1"/>
    <col min="12" max="12" width="11.5703125" style="218" customWidth="1"/>
    <col min="13" max="13" width="13.140625" style="218" customWidth="1"/>
    <col min="14" max="20" width="9.140625" style="218"/>
    <col min="21" max="28" width="9.140625" style="254"/>
    <col min="29" max="16384" width="9.140625" style="218"/>
  </cols>
  <sheetData>
    <row r="1" spans="1:28" s="213" customFormat="1" ht="33.75" x14ac:dyDescent="0.5">
      <c r="D1" s="214" t="s">
        <v>263</v>
      </c>
      <c r="E1" s="215"/>
      <c r="F1" s="215"/>
      <c r="G1" s="215"/>
      <c r="H1" s="215"/>
      <c r="I1" s="215"/>
      <c r="J1" s="215"/>
      <c r="K1" s="215"/>
      <c r="L1" s="215"/>
      <c r="M1" s="215"/>
      <c r="N1" s="215"/>
      <c r="O1" s="215"/>
      <c r="P1" s="230"/>
      <c r="Q1" s="231"/>
      <c r="R1" s="231"/>
      <c r="S1" s="231"/>
      <c r="T1" s="231"/>
      <c r="U1" s="253"/>
      <c r="V1" s="253"/>
      <c r="W1" s="253"/>
      <c r="X1" s="253"/>
      <c r="Y1" s="253"/>
      <c r="Z1" s="253"/>
      <c r="AA1" s="253"/>
      <c r="AB1" s="253"/>
    </row>
    <row r="2" spans="1:28" s="213" customFormat="1" ht="26.25" x14ac:dyDescent="0.25">
      <c r="A2" s="217"/>
      <c r="P2" s="231"/>
      <c r="Q2" s="231"/>
      <c r="R2" s="231"/>
      <c r="S2" s="231"/>
      <c r="T2" s="231"/>
      <c r="U2" s="253"/>
      <c r="V2" s="253"/>
      <c r="W2" s="253"/>
      <c r="X2" s="253"/>
      <c r="Y2" s="253"/>
      <c r="Z2" s="253"/>
      <c r="AA2" s="253"/>
      <c r="AB2" s="253"/>
    </row>
    <row r="4" spans="1:28" ht="26.25" x14ac:dyDescent="0.4">
      <c r="B4" s="219" t="s">
        <v>230</v>
      </c>
      <c r="C4" s="219"/>
      <c r="D4" s="219"/>
      <c r="E4" s="219"/>
      <c r="F4" s="220"/>
      <c r="G4" s="221"/>
      <c r="H4" s="222"/>
      <c r="I4" s="222"/>
      <c r="J4" s="222"/>
      <c r="K4" s="222"/>
      <c r="L4" s="222"/>
    </row>
    <row r="5" spans="1:28" ht="21" x14ac:dyDescent="0.35">
      <c r="B5" s="222"/>
      <c r="C5" s="222"/>
      <c r="D5" s="222"/>
      <c r="E5" s="222"/>
      <c r="F5" s="222"/>
      <c r="G5" s="222"/>
      <c r="H5" s="222"/>
      <c r="I5" s="222"/>
      <c r="J5" s="222"/>
      <c r="K5" s="222"/>
      <c r="L5" s="222"/>
    </row>
    <row r="6" spans="1:28" ht="21" x14ac:dyDescent="0.35">
      <c r="B6" s="223" t="s">
        <v>197</v>
      </c>
      <c r="C6" s="223"/>
      <c r="D6" s="223"/>
      <c r="E6" s="223"/>
      <c r="F6" s="223"/>
      <c r="G6" s="223"/>
      <c r="H6" s="223"/>
      <c r="I6" s="223"/>
      <c r="J6" s="223"/>
      <c r="K6" s="223"/>
      <c r="L6" s="223"/>
    </row>
    <row r="7" spans="1:28" ht="21" x14ac:dyDescent="0.35">
      <c r="B7" s="223"/>
      <c r="C7" s="223"/>
      <c r="D7" s="223"/>
      <c r="E7" s="223"/>
      <c r="F7" s="223"/>
      <c r="G7" s="223"/>
      <c r="H7" s="223"/>
      <c r="I7" s="223"/>
      <c r="J7" s="223"/>
      <c r="K7" s="223"/>
      <c r="L7" s="223"/>
    </row>
    <row r="8" spans="1:28" x14ac:dyDescent="0.25">
      <c r="B8" s="224"/>
      <c r="C8" s="224"/>
      <c r="D8" s="224"/>
      <c r="E8" s="224"/>
      <c r="F8" s="224"/>
      <c r="G8" s="224"/>
      <c r="H8" s="224"/>
      <c r="I8" s="224"/>
      <c r="J8" s="224"/>
      <c r="K8" s="224"/>
      <c r="L8" s="224"/>
    </row>
    <row r="9" spans="1:28" ht="21" x14ac:dyDescent="0.35">
      <c r="B9" s="223" t="s">
        <v>198</v>
      </c>
      <c r="C9" s="224"/>
      <c r="D9" s="224"/>
      <c r="E9" s="224"/>
      <c r="F9" s="224"/>
      <c r="G9" s="224"/>
      <c r="H9" s="224"/>
      <c r="I9" s="224"/>
      <c r="J9" s="224"/>
      <c r="K9" s="224"/>
      <c r="L9" s="224"/>
    </row>
    <row r="10" spans="1:28" x14ac:dyDescent="0.25">
      <c r="B10" s="224"/>
      <c r="C10" s="224"/>
      <c r="D10" s="224"/>
      <c r="E10" s="224"/>
      <c r="F10" s="224"/>
      <c r="G10" s="224"/>
      <c r="H10" s="224"/>
      <c r="I10" s="224"/>
      <c r="J10" s="224"/>
      <c r="K10" s="224"/>
      <c r="L10" s="224"/>
    </row>
    <row r="11" spans="1:28" x14ac:dyDescent="0.25">
      <c r="B11" s="224"/>
      <c r="C11" s="224"/>
      <c r="D11" s="224"/>
      <c r="E11" s="224"/>
      <c r="F11" s="224"/>
      <c r="G11" s="224"/>
      <c r="H11" s="224"/>
      <c r="I11" s="224"/>
      <c r="J11" s="224"/>
      <c r="K11" s="224"/>
      <c r="L11" s="224"/>
    </row>
    <row r="12" spans="1:28" ht="21" x14ac:dyDescent="0.35">
      <c r="B12" s="223" t="s">
        <v>249</v>
      </c>
      <c r="C12" s="224"/>
      <c r="D12" s="224"/>
      <c r="E12" s="224"/>
      <c r="F12" s="224"/>
      <c r="G12" s="224"/>
      <c r="H12" s="224"/>
      <c r="I12" s="224"/>
      <c r="J12" s="224"/>
      <c r="K12" s="224"/>
      <c r="L12" s="224"/>
      <c r="T12" s="254">
        <v>50</v>
      </c>
      <c r="U12" s="254">
        <v>0</v>
      </c>
    </row>
    <row r="13" spans="1:28" x14ac:dyDescent="0.25">
      <c r="B13" s="224"/>
      <c r="C13" s="224"/>
      <c r="D13" s="224"/>
      <c r="E13" s="224"/>
      <c r="F13" s="224"/>
      <c r="G13" s="224"/>
      <c r="H13" s="224"/>
      <c r="I13" s="224"/>
      <c r="J13" s="224"/>
      <c r="K13" s="224"/>
      <c r="L13" s="224"/>
      <c r="T13" s="254">
        <v>51</v>
      </c>
      <c r="U13" s="254">
        <v>1</v>
      </c>
    </row>
    <row r="14" spans="1:28" ht="21" x14ac:dyDescent="0.35">
      <c r="B14" s="223" t="s">
        <v>200</v>
      </c>
      <c r="C14" s="224"/>
      <c r="D14" s="224"/>
      <c r="E14" s="224"/>
      <c r="F14" s="224"/>
      <c r="G14" s="224"/>
      <c r="H14" s="224"/>
      <c r="I14" s="224"/>
      <c r="J14" s="224"/>
      <c r="K14" s="224"/>
      <c r="L14" s="224"/>
      <c r="T14" s="254">
        <v>52</v>
      </c>
      <c r="U14" s="254">
        <v>2</v>
      </c>
    </row>
    <row r="15" spans="1:28" ht="21" x14ac:dyDescent="0.25">
      <c r="B15" s="266" t="s">
        <v>269</v>
      </c>
      <c r="C15" s="224"/>
      <c r="D15" s="224"/>
      <c r="E15" s="224"/>
      <c r="F15" s="224"/>
      <c r="G15" s="224"/>
      <c r="H15" s="224"/>
      <c r="I15" s="224"/>
      <c r="J15" s="224"/>
      <c r="K15" s="224"/>
      <c r="L15" s="224"/>
      <c r="T15" s="254">
        <v>53</v>
      </c>
      <c r="U15" s="254">
        <v>3</v>
      </c>
    </row>
    <row r="16" spans="1:28" ht="21" x14ac:dyDescent="0.35">
      <c r="B16" s="223"/>
      <c r="C16" s="224"/>
      <c r="D16" s="224"/>
      <c r="E16" s="224"/>
      <c r="F16" s="224"/>
      <c r="G16" s="224"/>
      <c r="H16" s="224"/>
      <c r="I16" s="224"/>
      <c r="J16" s="224"/>
      <c r="K16" s="224"/>
      <c r="L16" s="224"/>
      <c r="T16" s="254">
        <v>54</v>
      </c>
      <c r="U16" s="254">
        <v>4</v>
      </c>
    </row>
    <row r="17" spans="2:21" ht="24" thickBot="1" x14ac:dyDescent="0.4">
      <c r="B17" s="225" t="s">
        <v>199</v>
      </c>
      <c r="C17" s="225"/>
      <c r="D17" s="225"/>
      <c r="E17" s="225"/>
      <c r="F17" s="225"/>
      <c r="G17" s="225"/>
      <c r="H17" s="225"/>
      <c r="I17" s="225"/>
      <c r="J17" s="225"/>
      <c r="K17" s="225"/>
      <c r="L17" s="225"/>
      <c r="M17" s="225" t="s">
        <v>32</v>
      </c>
      <c r="N17" s="225" t="s">
        <v>33</v>
      </c>
      <c r="O17" s="225"/>
      <c r="T17" s="254">
        <v>55</v>
      </c>
      <c r="U17" s="254">
        <v>5</v>
      </c>
    </row>
    <row r="18" spans="2:21" ht="24.75" thickTop="1" thickBot="1" x14ac:dyDescent="0.4">
      <c r="B18" s="225" t="s">
        <v>97</v>
      </c>
      <c r="C18" s="225"/>
      <c r="D18" s="225"/>
      <c r="E18" s="225"/>
      <c r="F18" s="225"/>
      <c r="G18" s="225"/>
      <c r="H18" s="225"/>
      <c r="I18" s="225"/>
      <c r="J18" s="225"/>
      <c r="K18" s="225"/>
      <c r="L18" s="225"/>
      <c r="M18" s="226">
        <v>67</v>
      </c>
      <c r="N18" s="226">
        <v>0</v>
      </c>
      <c r="O18" s="225"/>
      <c r="T18" s="254">
        <v>56</v>
      </c>
      <c r="U18" s="254">
        <v>6</v>
      </c>
    </row>
    <row r="19" spans="2:21" ht="15.75" thickTop="1" x14ac:dyDescent="0.25">
      <c r="T19" s="254">
        <v>57</v>
      </c>
      <c r="U19" s="254">
        <v>7</v>
      </c>
    </row>
    <row r="20" spans="2:21" x14ac:dyDescent="0.25">
      <c r="T20" s="254">
        <v>58</v>
      </c>
      <c r="U20" s="254">
        <v>8</v>
      </c>
    </row>
    <row r="21" spans="2:21" x14ac:dyDescent="0.25">
      <c r="T21" s="254">
        <v>59</v>
      </c>
      <c r="U21" s="254">
        <v>9</v>
      </c>
    </row>
    <row r="22" spans="2:21" ht="21" x14ac:dyDescent="0.35">
      <c r="K22" s="251" t="s">
        <v>181</v>
      </c>
      <c r="T22" s="254">
        <v>60</v>
      </c>
      <c r="U22" s="254">
        <v>10</v>
      </c>
    </row>
    <row r="23" spans="2:21" x14ac:dyDescent="0.25">
      <c r="T23" s="254">
        <v>61</v>
      </c>
      <c r="U23" s="254">
        <v>11</v>
      </c>
    </row>
    <row r="24" spans="2:21" x14ac:dyDescent="0.25">
      <c r="T24" s="254">
        <v>62</v>
      </c>
    </row>
    <row r="25" spans="2:21" x14ac:dyDescent="0.25">
      <c r="T25" s="254">
        <v>63</v>
      </c>
    </row>
    <row r="26" spans="2:21" x14ac:dyDescent="0.25">
      <c r="T26" s="254">
        <v>64</v>
      </c>
    </row>
    <row r="27" spans="2:21" x14ac:dyDescent="0.25">
      <c r="T27" s="254">
        <v>65</v>
      </c>
    </row>
    <row r="28" spans="2:21" x14ac:dyDescent="0.25">
      <c r="T28" s="254">
        <v>66</v>
      </c>
    </row>
    <row r="29" spans="2:21" x14ac:dyDescent="0.25">
      <c r="T29" s="254">
        <v>67</v>
      </c>
    </row>
    <row r="30" spans="2:21" x14ac:dyDescent="0.25">
      <c r="T30" s="254">
        <v>68</v>
      </c>
    </row>
    <row r="31" spans="2:21" x14ac:dyDescent="0.25">
      <c r="T31" s="254">
        <v>69</v>
      </c>
    </row>
    <row r="32" spans="2:21" x14ac:dyDescent="0.25">
      <c r="T32" s="254">
        <v>70</v>
      </c>
    </row>
    <row r="33" spans="20:20" x14ac:dyDescent="0.25">
      <c r="T33" s="254">
        <v>71</v>
      </c>
    </row>
    <row r="34" spans="20:20" x14ac:dyDescent="0.25">
      <c r="T34" s="254">
        <v>72</v>
      </c>
    </row>
    <row r="35" spans="20:20" x14ac:dyDescent="0.25">
      <c r="T35" s="254">
        <v>73</v>
      </c>
    </row>
    <row r="36" spans="20:20" x14ac:dyDescent="0.25">
      <c r="T36" s="254">
        <v>74</v>
      </c>
    </row>
    <row r="37" spans="20:20" x14ac:dyDescent="0.25">
      <c r="T37" s="254">
        <v>75</v>
      </c>
    </row>
  </sheetData>
  <sheetProtection algorithmName="SHA-512" hashValue="3CkAAyvmIO/AEFhqCNLHjQOm6s7GdnYUd8zazZidOAccKTjryc1UVJGoXVhylqAKEypNJ+tSW4oqXSsqx8VftQ==" saltValue="BRc/WBGTor4iQkn/CfiPPQ==" spinCount="100000" sheet="1" objects="1" scenarios="1"/>
  <dataValidations count="2">
    <dataValidation type="list" allowBlank="1" showInputMessage="1" showErrorMessage="1" sqref="M18" xr:uid="{2B949ACD-3314-48BB-8B25-D68675326897}">
      <formula1>$T$17:$T$37</formula1>
    </dataValidation>
    <dataValidation type="list" allowBlank="1" showInputMessage="1" showErrorMessage="1" sqref="N18" xr:uid="{F72CA779-25F2-49AE-8A0C-93BA5A72367D}">
      <formula1>$U$12:$U$23</formula1>
    </dataValidation>
  </dataValidations>
  <hyperlinks>
    <hyperlink ref="K22" location="'2015 Scheme Information'!A1" display="Proceed to 2015 Scheme Information" xr:uid="{38D46141-EB07-4C13-A5EC-C22F7500425A}"/>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9596E-D7D4-4AE1-9294-A331E436CEE5}">
  <dimension ref="A1:N35"/>
  <sheetViews>
    <sheetView workbookViewId="0">
      <selection activeCell="J7" sqref="J7"/>
    </sheetView>
  </sheetViews>
  <sheetFormatPr defaultRowHeight="15" x14ac:dyDescent="0.25"/>
  <cols>
    <col min="4" max="4" width="11.85546875" customWidth="1"/>
    <col min="6" max="6" width="14.28515625" customWidth="1"/>
    <col min="8" max="8" width="10.140625" bestFit="1" customWidth="1"/>
    <col min="13" max="13" width="14.28515625" customWidth="1"/>
  </cols>
  <sheetData>
    <row r="1" spans="1:14" x14ac:dyDescent="0.25">
      <c r="A1" s="200" t="s">
        <v>99</v>
      </c>
      <c r="B1" s="200"/>
      <c r="C1" s="200"/>
      <c r="D1" s="200"/>
      <c r="E1" s="200"/>
      <c r="F1" s="200"/>
      <c r="G1" s="200"/>
      <c r="H1" s="200"/>
      <c r="I1" s="200"/>
      <c r="J1" s="200"/>
      <c r="K1" s="200"/>
      <c r="L1" s="200"/>
      <c r="M1" s="200"/>
      <c r="N1" s="200"/>
    </row>
    <row r="2" spans="1:14" x14ac:dyDescent="0.25">
      <c r="A2" s="200"/>
      <c r="B2" s="200"/>
      <c r="C2" s="200"/>
      <c r="D2" s="200"/>
      <c r="E2" s="200"/>
      <c r="F2" s="200"/>
      <c r="G2" s="200"/>
      <c r="H2" s="200"/>
      <c r="I2" s="200"/>
      <c r="J2" s="200"/>
      <c r="K2" s="200"/>
      <c r="L2" s="200"/>
      <c r="M2" s="200"/>
      <c r="N2" s="200"/>
    </row>
    <row r="3" spans="1:14" x14ac:dyDescent="0.25">
      <c r="A3" s="200" t="s">
        <v>100</v>
      </c>
      <c r="B3" s="200"/>
      <c r="C3" s="200"/>
      <c r="D3" s="200"/>
      <c r="E3" s="200"/>
      <c r="F3" s="200"/>
      <c r="G3" s="200"/>
      <c r="H3" s="200"/>
      <c r="I3" s="200"/>
      <c r="J3" s="200"/>
      <c r="K3" s="200"/>
      <c r="L3" s="200"/>
      <c r="M3" s="200"/>
      <c r="N3" s="200"/>
    </row>
    <row r="4" spans="1:14" x14ac:dyDescent="0.25">
      <c r="A4" s="200"/>
      <c r="B4" s="200" t="s">
        <v>101</v>
      </c>
      <c r="C4" s="200"/>
      <c r="D4" s="200"/>
      <c r="E4" s="200"/>
      <c r="F4" s="200" t="s">
        <v>102</v>
      </c>
      <c r="G4" s="200"/>
      <c r="H4" s="200"/>
      <c r="I4" s="200"/>
      <c r="J4" s="200"/>
      <c r="K4" s="200" t="s">
        <v>103</v>
      </c>
      <c r="L4" s="200"/>
      <c r="M4" s="200"/>
      <c r="N4" s="200"/>
    </row>
    <row r="5" spans="1:14" x14ac:dyDescent="0.25">
      <c r="A5" s="200"/>
      <c r="B5" s="200"/>
      <c r="C5" s="200"/>
      <c r="D5" s="200"/>
      <c r="E5" s="200"/>
      <c r="F5" s="200"/>
      <c r="G5" s="200"/>
      <c r="H5" s="200"/>
      <c r="I5" s="200"/>
      <c r="J5" s="200"/>
      <c r="K5" s="200"/>
      <c r="L5" s="200"/>
      <c r="M5" s="200"/>
      <c r="N5" s="200"/>
    </row>
    <row r="6" spans="1:14" x14ac:dyDescent="0.25">
      <c r="A6" s="200"/>
      <c r="B6" s="200" t="s">
        <v>104</v>
      </c>
      <c r="C6" s="200"/>
      <c r="D6" s="201">
        <f>'1995-2015 Calculator (67)'!E41</f>
        <v>0</v>
      </c>
      <c r="E6" s="200"/>
      <c r="F6" s="200" t="s">
        <v>104</v>
      </c>
      <c r="G6" s="200"/>
      <c r="H6" s="201">
        <f>Sheet2!AA38</f>
        <v>0</v>
      </c>
      <c r="I6" s="200"/>
      <c r="J6" s="200"/>
      <c r="K6" s="200" t="s">
        <v>104</v>
      </c>
      <c r="L6" s="200"/>
      <c r="M6" s="201">
        <f>D6+H6</f>
        <v>0</v>
      </c>
      <c r="N6" s="200"/>
    </row>
    <row r="7" spans="1:14" x14ac:dyDescent="0.25">
      <c r="A7" s="200"/>
      <c r="B7" s="200"/>
      <c r="C7" s="200"/>
      <c r="D7" s="201"/>
      <c r="E7" s="200"/>
      <c r="F7" s="200"/>
      <c r="G7" s="200"/>
      <c r="H7" s="200"/>
      <c r="I7" s="200"/>
      <c r="J7" s="200"/>
      <c r="K7" s="200"/>
      <c r="L7" s="200"/>
      <c r="M7" s="201"/>
      <c r="N7" s="200"/>
    </row>
    <row r="8" spans="1:14" x14ac:dyDescent="0.25">
      <c r="A8" s="200"/>
      <c r="B8" s="200" t="s">
        <v>105</v>
      </c>
      <c r="C8" s="200"/>
      <c r="D8" s="201">
        <f>Sheet2!D49</f>
        <v>0</v>
      </c>
      <c r="E8" s="200"/>
      <c r="F8" s="200"/>
      <c r="G8" s="200"/>
      <c r="H8" s="200"/>
      <c r="I8" s="200"/>
      <c r="J8" s="200"/>
      <c r="K8" s="200" t="s">
        <v>105</v>
      </c>
      <c r="L8" s="200"/>
      <c r="M8" s="201">
        <f>D8</f>
        <v>0</v>
      </c>
      <c r="N8" s="200"/>
    </row>
    <row r="9" spans="1:14" x14ac:dyDescent="0.25">
      <c r="A9" s="200"/>
      <c r="B9" s="200"/>
      <c r="C9" s="200"/>
      <c r="D9" s="200"/>
      <c r="E9" s="200"/>
      <c r="F9" s="200"/>
      <c r="G9" s="200"/>
      <c r="H9" s="200"/>
      <c r="I9" s="200"/>
      <c r="J9" s="200"/>
      <c r="K9" s="200"/>
      <c r="L9" s="200"/>
      <c r="M9" s="200"/>
      <c r="N9" s="200"/>
    </row>
    <row r="10" spans="1:14" x14ac:dyDescent="0.25">
      <c r="A10" s="200"/>
      <c r="B10" s="200"/>
      <c r="C10" s="200"/>
      <c r="D10" s="200"/>
      <c r="E10" s="200"/>
      <c r="F10" s="200"/>
      <c r="G10" s="200"/>
      <c r="H10" s="200"/>
      <c r="I10" s="200"/>
      <c r="J10" s="200"/>
      <c r="K10" s="200"/>
      <c r="L10" s="200"/>
      <c r="M10" s="200"/>
      <c r="N10" s="200"/>
    </row>
    <row r="11" spans="1:14" x14ac:dyDescent="0.25">
      <c r="A11" s="200" t="s">
        <v>107</v>
      </c>
      <c r="B11" s="200"/>
      <c r="C11" s="200"/>
      <c r="D11" s="200"/>
      <c r="E11" s="200"/>
      <c r="F11" s="200"/>
      <c r="G11" s="200"/>
      <c r="H11" s="200"/>
      <c r="I11" s="200"/>
      <c r="J11" s="200"/>
      <c r="K11" s="200"/>
      <c r="L11" s="200"/>
      <c r="M11" s="200"/>
      <c r="N11" s="200"/>
    </row>
    <row r="12" spans="1:14" x14ac:dyDescent="0.25">
      <c r="A12" s="200"/>
      <c r="B12" s="200"/>
      <c r="C12" s="200"/>
      <c r="D12" s="200"/>
      <c r="E12" s="200"/>
      <c r="F12" s="200"/>
      <c r="G12" s="200"/>
      <c r="H12" s="200"/>
      <c r="I12" s="200"/>
      <c r="J12" s="200"/>
      <c r="K12" s="200"/>
      <c r="L12" s="200"/>
      <c r="M12" s="200"/>
      <c r="N12" s="200"/>
    </row>
    <row r="13" spans="1:14" x14ac:dyDescent="0.25">
      <c r="A13" s="200"/>
      <c r="B13" s="200" t="s">
        <v>101</v>
      </c>
      <c r="C13" s="200"/>
      <c r="D13" s="200"/>
      <c r="E13" s="200"/>
      <c r="F13" s="200" t="s">
        <v>102</v>
      </c>
      <c r="G13" s="200"/>
      <c r="H13" s="200"/>
      <c r="I13" s="200"/>
      <c r="J13" s="200"/>
      <c r="K13" s="200" t="s">
        <v>103</v>
      </c>
      <c r="L13" s="200"/>
      <c r="M13" s="200"/>
      <c r="N13" s="200"/>
    </row>
    <row r="14" spans="1:14" x14ac:dyDescent="0.25">
      <c r="A14" s="200"/>
      <c r="B14" s="200"/>
      <c r="C14" s="200"/>
      <c r="D14" s="200"/>
      <c r="E14" s="200"/>
      <c r="F14" s="200"/>
      <c r="G14" s="200"/>
      <c r="H14" s="200"/>
      <c r="I14" s="200"/>
      <c r="J14" s="200"/>
      <c r="K14" s="200"/>
      <c r="L14" s="200"/>
      <c r="M14" s="200"/>
      <c r="N14" s="200"/>
    </row>
    <row r="15" spans="1:14" x14ac:dyDescent="0.25">
      <c r="A15" s="200"/>
      <c r="B15" s="200" t="s">
        <v>104</v>
      </c>
      <c r="C15" s="200"/>
      <c r="D15" s="201">
        <f>Sheet2!D56</f>
        <v>0</v>
      </c>
      <c r="E15" s="200"/>
      <c r="F15" s="200" t="s">
        <v>104</v>
      </c>
      <c r="G15" s="200"/>
      <c r="H15" s="201">
        <f>Sheet2!H56</f>
        <v>0</v>
      </c>
      <c r="I15" s="200"/>
      <c r="J15" s="200"/>
      <c r="K15" s="200" t="s">
        <v>104</v>
      </c>
      <c r="L15" s="200"/>
      <c r="M15" s="201">
        <f>D15+H15</f>
        <v>0</v>
      </c>
      <c r="N15" s="200"/>
    </row>
    <row r="16" spans="1:14" x14ac:dyDescent="0.25">
      <c r="A16" s="200"/>
      <c r="B16" s="200"/>
      <c r="C16" s="200"/>
      <c r="D16" s="201"/>
      <c r="E16" s="200"/>
      <c r="F16" s="200"/>
      <c r="G16" s="200"/>
      <c r="H16" s="203"/>
      <c r="I16" s="200"/>
      <c r="J16" s="200"/>
      <c r="K16" s="200"/>
      <c r="L16" s="200"/>
      <c r="M16" s="201"/>
      <c r="N16" s="200"/>
    </row>
    <row r="17" spans="1:14" x14ac:dyDescent="0.25">
      <c r="A17" s="200"/>
      <c r="B17" s="200" t="s">
        <v>105</v>
      </c>
      <c r="C17" s="200"/>
      <c r="D17" s="201">
        <f>Sheet2!D58</f>
        <v>0</v>
      </c>
      <c r="E17" s="200"/>
      <c r="F17" s="200" t="s">
        <v>105</v>
      </c>
      <c r="G17" s="200"/>
      <c r="H17" s="201">
        <f>Sheet2!H58</f>
        <v>0</v>
      </c>
      <c r="I17" s="200"/>
      <c r="J17" s="200"/>
      <c r="K17" s="200" t="s">
        <v>105</v>
      </c>
      <c r="L17" s="200"/>
      <c r="M17" s="201">
        <f>D17+H17</f>
        <v>0</v>
      </c>
      <c r="N17" s="200"/>
    </row>
    <row r="18" spans="1:14" x14ac:dyDescent="0.25">
      <c r="A18" s="200"/>
      <c r="B18" s="200"/>
      <c r="C18" s="200"/>
      <c r="D18" s="200"/>
      <c r="E18" s="200"/>
      <c r="F18" s="200"/>
      <c r="G18" s="200"/>
      <c r="H18" s="200"/>
      <c r="I18" s="200"/>
      <c r="J18" s="200"/>
      <c r="K18" s="200"/>
      <c r="L18" s="200"/>
      <c r="M18" s="200"/>
      <c r="N18" s="200"/>
    </row>
    <row r="19" spans="1:14" x14ac:dyDescent="0.25">
      <c r="A19" s="199"/>
      <c r="B19" s="199"/>
      <c r="C19" s="199"/>
      <c r="D19" s="199"/>
      <c r="E19" s="199"/>
      <c r="F19" s="199"/>
      <c r="G19" s="199"/>
      <c r="H19" s="199"/>
      <c r="I19" s="199"/>
      <c r="J19" s="199"/>
      <c r="K19" s="199"/>
      <c r="L19" s="199"/>
      <c r="M19" s="199"/>
      <c r="N19" s="199"/>
    </row>
    <row r="20" spans="1:14" x14ac:dyDescent="0.25">
      <c r="A20" s="199"/>
      <c r="B20" s="199"/>
      <c r="C20" s="199"/>
      <c r="D20" s="199"/>
      <c r="E20" s="199"/>
      <c r="F20" s="199"/>
      <c r="G20" s="199"/>
      <c r="H20" s="199"/>
      <c r="I20" s="199"/>
      <c r="J20" s="199"/>
      <c r="K20" s="199"/>
      <c r="L20" s="199"/>
      <c r="M20" s="199"/>
      <c r="N20" s="199"/>
    </row>
    <row r="21" spans="1:14" x14ac:dyDescent="0.25">
      <c r="A21" s="200" t="s">
        <v>108</v>
      </c>
      <c r="B21" s="200"/>
      <c r="C21" s="200"/>
      <c r="D21" s="200"/>
      <c r="E21" s="200"/>
      <c r="F21" s="200"/>
      <c r="G21" s="200"/>
      <c r="H21" s="200"/>
      <c r="I21" s="200"/>
      <c r="J21" s="200"/>
      <c r="K21" s="200"/>
      <c r="L21" s="200"/>
      <c r="M21" s="200"/>
      <c r="N21" s="200"/>
    </row>
    <row r="22" spans="1:14" x14ac:dyDescent="0.25">
      <c r="A22" s="200"/>
      <c r="B22" s="200"/>
      <c r="C22" s="200"/>
      <c r="D22" s="200"/>
      <c r="E22" s="200"/>
      <c r="F22" s="200"/>
      <c r="G22" s="200"/>
      <c r="H22" s="200"/>
      <c r="I22" s="200"/>
      <c r="J22" s="200"/>
      <c r="K22" s="200"/>
      <c r="L22" s="200"/>
      <c r="M22" s="200"/>
      <c r="N22" s="200"/>
    </row>
    <row r="23" spans="1:14" x14ac:dyDescent="0.25">
      <c r="A23" s="200" t="s">
        <v>109</v>
      </c>
      <c r="B23" s="200"/>
      <c r="C23" s="200"/>
      <c r="D23" s="200"/>
      <c r="E23" s="200"/>
      <c r="F23" s="200"/>
      <c r="G23" s="200"/>
      <c r="H23" s="200"/>
      <c r="I23" s="200"/>
      <c r="J23" s="200"/>
      <c r="K23" s="200"/>
      <c r="L23" s="200"/>
      <c r="M23" s="200"/>
      <c r="N23" s="200"/>
    </row>
    <row r="24" spans="1:14" x14ac:dyDescent="0.25">
      <c r="A24" s="200" t="s">
        <v>110</v>
      </c>
      <c r="B24" s="200"/>
      <c r="C24" s="200"/>
      <c r="D24" s="200"/>
      <c r="E24" s="200"/>
      <c r="F24" s="200"/>
      <c r="G24" s="200"/>
      <c r="H24" s="200"/>
      <c r="I24" s="200"/>
      <c r="J24" s="200"/>
      <c r="K24" s="200"/>
      <c r="L24" s="200"/>
      <c r="M24" s="200"/>
      <c r="N24" s="200"/>
    </row>
    <row r="25" spans="1:14" x14ac:dyDescent="0.25">
      <c r="A25" s="200"/>
      <c r="B25" s="200"/>
      <c r="C25" s="200"/>
      <c r="D25" s="200"/>
      <c r="E25" s="200"/>
      <c r="F25" s="200"/>
      <c r="G25" s="200"/>
      <c r="H25" s="200"/>
      <c r="I25" s="200"/>
      <c r="J25" s="200"/>
      <c r="K25" s="200"/>
      <c r="L25" s="200"/>
      <c r="M25" s="200"/>
      <c r="N25" s="200"/>
    </row>
    <row r="26" spans="1:14" x14ac:dyDescent="0.25">
      <c r="A26" s="200"/>
      <c r="B26" s="200"/>
      <c r="C26" s="200"/>
      <c r="D26" s="200"/>
      <c r="E26" s="200"/>
      <c r="F26" s="200"/>
      <c r="G26" s="200"/>
      <c r="H26" s="200"/>
      <c r="I26" s="200"/>
      <c r="J26" s="200"/>
      <c r="K26" s="200"/>
      <c r="L26" s="200"/>
      <c r="M26" s="200"/>
      <c r="N26" s="200"/>
    </row>
    <row r="27" spans="1:14" x14ac:dyDescent="0.25">
      <c r="A27" s="200"/>
      <c r="B27" s="200" t="s">
        <v>171</v>
      </c>
      <c r="C27" s="200"/>
      <c r="D27" s="200"/>
      <c r="E27" s="200"/>
      <c r="F27" s="200" t="s">
        <v>101</v>
      </c>
      <c r="G27" s="200"/>
      <c r="H27" s="200" t="s">
        <v>102</v>
      </c>
      <c r="I27" s="200"/>
      <c r="J27" s="200"/>
      <c r="K27" s="200"/>
      <c r="L27" s="200"/>
      <c r="M27" s="200"/>
      <c r="N27" s="200"/>
    </row>
    <row r="28" spans="1:14" x14ac:dyDescent="0.25">
      <c r="A28" s="200"/>
      <c r="B28" s="200"/>
      <c r="C28" s="200"/>
      <c r="D28" s="200"/>
      <c r="E28" s="200"/>
      <c r="F28" s="201">
        <v>24000</v>
      </c>
      <c r="G28" s="201"/>
      <c r="H28" s="201">
        <v>600</v>
      </c>
      <c r="I28" s="200"/>
      <c r="J28" s="200"/>
      <c r="K28" s="200"/>
      <c r="L28" s="200"/>
      <c r="M28" s="200"/>
      <c r="N28" s="200"/>
    </row>
    <row r="29" spans="1:14" x14ac:dyDescent="0.25">
      <c r="A29" s="200"/>
      <c r="B29" s="200"/>
      <c r="C29" s="200"/>
      <c r="D29" s="200"/>
      <c r="E29" s="200"/>
      <c r="F29" s="205" t="str">
        <f>IF(F28&gt;U36*12,"Exceeds Maximum",".")</f>
        <v>Exceeds Maximum</v>
      </c>
      <c r="G29" s="204"/>
      <c r="H29" s="204" t="str">
        <f>IF(H28&gt;U19,"Exceeds Maximum",".")</f>
        <v>Exceeds Maximum</v>
      </c>
      <c r="I29" s="200"/>
      <c r="J29" s="200"/>
      <c r="K29" s="200"/>
      <c r="L29" s="200"/>
      <c r="M29" s="200"/>
      <c r="N29" s="200"/>
    </row>
    <row r="30" spans="1:14" x14ac:dyDescent="0.25">
      <c r="A30" s="200"/>
      <c r="B30" s="200"/>
      <c r="C30" s="200"/>
      <c r="D30" s="200"/>
      <c r="E30" s="200"/>
      <c r="F30" s="200"/>
      <c r="G30" s="200"/>
      <c r="H30" s="200"/>
      <c r="I30" s="200"/>
      <c r="J30" s="200"/>
      <c r="K30" s="200"/>
      <c r="L30" s="200"/>
      <c r="M30" s="200"/>
      <c r="N30" s="200"/>
    </row>
    <row r="31" spans="1:14" x14ac:dyDescent="0.25">
      <c r="A31" s="200"/>
      <c r="B31" s="200" t="s">
        <v>101</v>
      </c>
      <c r="C31" s="200"/>
      <c r="D31" s="200"/>
      <c r="E31" s="200"/>
      <c r="F31" s="200" t="s">
        <v>102</v>
      </c>
      <c r="G31" s="200"/>
      <c r="H31" s="200"/>
      <c r="I31" s="200"/>
      <c r="J31" s="200"/>
      <c r="K31" s="200" t="s">
        <v>103</v>
      </c>
      <c r="L31" s="200"/>
      <c r="M31" s="200"/>
      <c r="N31" s="200"/>
    </row>
    <row r="32" spans="1:14" x14ac:dyDescent="0.25">
      <c r="A32" s="200"/>
      <c r="B32" s="200"/>
      <c r="C32" s="200"/>
      <c r="D32" s="200"/>
      <c r="E32" s="200"/>
      <c r="F32" s="200"/>
      <c r="G32" s="200"/>
      <c r="H32" s="200"/>
      <c r="I32" s="200"/>
      <c r="J32" s="200"/>
      <c r="K32" s="200"/>
      <c r="L32" s="200"/>
      <c r="M32" s="200"/>
      <c r="N32" s="200"/>
    </row>
    <row r="33" spans="1:14" x14ac:dyDescent="0.25">
      <c r="A33" s="200"/>
      <c r="B33" s="200" t="s">
        <v>104</v>
      </c>
      <c r="C33" s="200"/>
      <c r="D33" s="201" t="str">
        <f>IF(F29=".",D6-U32,"Invalid")</f>
        <v>Invalid</v>
      </c>
      <c r="E33" s="200"/>
      <c r="F33" s="200" t="s">
        <v>104</v>
      </c>
      <c r="G33" s="200"/>
      <c r="H33" s="201" t="str">
        <f>IF(F29=".",H6-U33,"Invalid")</f>
        <v>Invalid</v>
      </c>
      <c r="I33" s="200"/>
      <c r="J33" s="200"/>
      <c r="K33" s="200" t="s">
        <v>104</v>
      </c>
      <c r="L33" s="200"/>
      <c r="M33" s="201" t="e">
        <f>D33+H33</f>
        <v>#VALUE!</v>
      </c>
      <c r="N33" s="200"/>
    </row>
    <row r="34" spans="1:14" x14ac:dyDescent="0.25">
      <c r="A34" s="200"/>
      <c r="B34" s="200"/>
      <c r="C34" s="200"/>
      <c r="D34" s="201"/>
      <c r="E34" s="200"/>
      <c r="F34" s="200"/>
      <c r="G34" s="200"/>
      <c r="H34" s="201"/>
      <c r="I34" s="200"/>
      <c r="J34" s="200"/>
      <c r="K34" s="200"/>
      <c r="L34" s="200"/>
      <c r="M34" s="201"/>
      <c r="N34" s="200"/>
    </row>
    <row r="35" spans="1:14" x14ac:dyDescent="0.25">
      <c r="A35" s="200"/>
      <c r="B35" s="200" t="s">
        <v>105</v>
      </c>
      <c r="C35" s="200"/>
      <c r="D35" s="201" t="str">
        <f>IF(F29=".",D8+(U32*12),"Invalid")</f>
        <v>Invalid</v>
      </c>
      <c r="E35" s="200"/>
      <c r="F35" s="200" t="s">
        <v>105</v>
      </c>
      <c r="G35" s="200"/>
      <c r="H35" s="201" t="str">
        <f>IF(H29=".",H28,"Invalid")</f>
        <v>Invalid</v>
      </c>
      <c r="I35" s="200"/>
      <c r="J35" s="200"/>
      <c r="K35" s="200" t="s">
        <v>105</v>
      </c>
      <c r="L35" s="200"/>
      <c r="M35" s="201" t="e">
        <f>D35+H35</f>
        <v>#VALUE!</v>
      </c>
      <c r="N35" s="200"/>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1F4ED-7497-4AAB-A811-546FC0AE83A7}">
  <dimension ref="A1:AA75"/>
  <sheetViews>
    <sheetView showGridLines="0" showRowColHeaders="0" zoomScaleNormal="100" workbookViewId="0">
      <selection activeCell="L15" sqref="L15"/>
    </sheetView>
  </sheetViews>
  <sheetFormatPr defaultRowHeight="15" x14ac:dyDescent="0.25"/>
  <cols>
    <col min="1" max="10" width="9.140625" style="252"/>
    <col min="11" max="11" width="60.28515625" style="252" customWidth="1"/>
    <col min="12" max="12" width="19.85546875" style="252" bestFit="1" customWidth="1"/>
    <col min="13" max="13" width="19.28515625" style="252" customWidth="1"/>
    <col min="14" max="14" width="10.7109375" style="252" customWidth="1"/>
    <col min="15" max="16384" width="9.140625" style="252"/>
  </cols>
  <sheetData>
    <row r="1" spans="1:27" s="232" customFormat="1" ht="33.75" x14ac:dyDescent="0.5">
      <c r="G1" s="233" t="s">
        <v>223</v>
      </c>
      <c r="J1" s="234"/>
      <c r="K1" s="234"/>
      <c r="L1" s="234"/>
      <c r="M1" s="234"/>
      <c r="N1" s="234"/>
      <c r="O1" s="234"/>
      <c r="P1" s="234"/>
      <c r="Q1" s="234"/>
      <c r="R1" s="234"/>
      <c r="S1" s="234"/>
      <c r="T1" s="234"/>
      <c r="U1" s="234"/>
      <c r="V1" s="234"/>
      <c r="W1" s="234"/>
      <c r="X1" s="234"/>
      <c r="Y1" s="234"/>
      <c r="Z1" s="234"/>
      <c r="AA1" s="234"/>
    </row>
    <row r="2" spans="1:27" s="232" customFormat="1" ht="24.75" customHeight="1" x14ac:dyDescent="0.4">
      <c r="A2" s="235"/>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row>
    <row r="3" spans="1:27" s="244" customFormat="1" x14ac:dyDescent="0.25"/>
    <row r="4" spans="1:27" s="244" customFormat="1" ht="26.25" x14ac:dyDescent="0.4">
      <c r="B4" s="219" t="s">
        <v>232</v>
      </c>
      <c r="C4" s="213"/>
      <c r="D4" s="213"/>
      <c r="E4" s="213"/>
      <c r="F4" s="213"/>
      <c r="G4" s="213"/>
      <c r="H4" s="213"/>
      <c r="I4" s="213"/>
      <c r="J4" s="213"/>
      <c r="K4" s="213"/>
    </row>
    <row r="5" spans="1:27" s="244" customFormat="1" ht="7.5" customHeight="1" x14ac:dyDescent="0.25">
      <c r="B5" s="213"/>
      <c r="C5" s="213"/>
      <c r="D5" s="213"/>
      <c r="E5" s="213"/>
      <c r="F5" s="213"/>
      <c r="G5" s="213"/>
      <c r="H5" s="213"/>
      <c r="I5" s="213"/>
      <c r="J5" s="213"/>
      <c r="K5" s="213"/>
    </row>
    <row r="6" spans="1:27" s="244" customFormat="1" ht="26.25" x14ac:dyDescent="0.4">
      <c r="B6" s="239" t="s">
        <v>182</v>
      </c>
      <c r="C6" s="239"/>
      <c r="D6" s="239"/>
      <c r="E6" s="239"/>
      <c r="F6" s="239"/>
      <c r="G6" s="239"/>
      <c r="H6" s="239"/>
      <c r="I6" s="239"/>
      <c r="J6" s="239"/>
      <c r="K6" s="239"/>
      <c r="L6" s="239"/>
      <c r="M6" s="239"/>
      <c r="N6" s="239"/>
      <c r="P6" s="255"/>
    </row>
    <row r="7" spans="1:27" s="244" customFormat="1" ht="21" x14ac:dyDescent="0.35">
      <c r="B7" s="239" t="s">
        <v>235</v>
      </c>
      <c r="C7" s="239"/>
      <c r="D7" s="239"/>
      <c r="E7" s="239"/>
      <c r="F7" s="239"/>
      <c r="G7" s="239"/>
      <c r="H7" s="239"/>
      <c r="I7" s="239"/>
      <c r="J7" s="239"/>
      <c r="K7" s="239"/>
      <c r="L7" s="239"/>
      <c r="M7" s="239"/>
      <c r="N7" s="239"/>
    </row>
    <row r="8" spans="1:27" s="244" customFormat="1" ht="8.25" customHeight="1" x14ac:dyDescent="0.35">
      <c r="B8" s="239"/>
      <c r="C8" s="239"/>
      <c r="D8" s="239"/>
      <c r="E8" s="239"/>
      <c r="F8" s="239"/>
      <c r="G8" s="239"/>
      <c r="H8" s="239"/>
      <c r="I8" s="239"/>
      <c r="J8" s="239"/>
      <c r="K8" s="239"/>
      <c r="L8" s="239"/>
      <c r="M8" s="239"/>
      <c r="N8" s="239"/>
    </row>
    <row r="9" spans="1:27" s="244" customFormat="1" ht="23.25" customHeight="1" x14ac:dyDescent="0.35">
      <c r="B9" s="239" t="s">
        <v>186</v>
      </c>
      <c r="C9" s="239"/>
      <c r="D9" s="239"/>
      <c r="E9" s="239"/>
      <c r="F9" s="239"/>
      <c r="G9" s="239"/>
      <c r="H9" s="239"/>
      <c r="I9" s="239"/>
      <c r="J9" s="239"/>
      <c r="K9" s="239"/>
      <c r="L9" s="239"/>
      <c r="M9" s="239"/>
      <c r="N9" s="239"/>
    </row>
    <row r="10" spans="1:27" s="244" customFormat="1" ht="21" customHeight="1" x14ac:dyDescent="0.35">
      <c r="B10" s="239" t="s">
        <v>246</v>
      </c>
      <c r="C10" s="239"/>
      <c r="D10" s="239"/>
      <c r="E10" s="239"/>
      <c r="F10" s="239"/>
      <c r="G10" s="239"/>
      <c r="H10" s="239"/>
      <c r="I10" s="239"/>
      <c r="J10" s="239"/>
      <c r="K10" s="239"/>
    </row>
    <row r="11" spans="1:27" s="244" customFormat="1" ht="11.25" customHeight="1" x14ac:dyDescent="0.4">
      <c r="L11" s="239"/>
      <c r="M11" s="256"/>
      <c r="N11" s="256"/>
      <c r="O11" s="237"/>
      <c r="P11" s="255"/>
    </row>
    <row r="12" spans="1:27" s="244" customFormat="1" ht="21" customHeight="1" thickBot="1" x14ac:dyDescent="0.55000000000000004">
      <c r="M12" s="258" t="s">
        <v>32</v>
      </c>
      <c r="N12" s="237" t="s">
        <v>89</v>
      </c>
      <c r="P12" s="257"/>
    </row>
    <row r="13" spans="1:27" s="244" customFormat="1" ht="28.5" customHeight="1" thickTop="1" thickBot="1" x14ac:dyDescent="0.55000000000000004">
      <c r="B13" s="258" t="s">
        <v>237</v>
      </c>
      <c r="C13" s="258"/>
      <c r="D13" s="258"/>
      <c r="E13" s="258"/>
      <c r="F13" s="258"/>
      <c r="G13" s="258"/>
      <c r="H13" s="258"/>
      <c r="I13" s="258"/>
      <c r="J13" s="258"/>
      <c r="K13" s="258"/>
      <c r="L13" s="258"/>
      <c r="M13" s="226">
        <v>0</v>
      </c>
      <c r="N13" s="227">
        <v>0</v>
      </c>
      <c r="P13" s="257"/>
    </row>
    <row r="14" spans="1:27" s="244" customFormat="1" ht="18.75" customHeight="1" thickTop="1" x14ac:dyDescent="0.4">
      <c r="B14" s="258" t="s">
        <v>93</v>
      </c>
      <c r="C14" s="258"/>
      <c r="D14" s="258"/>
      <c r="E14" s="258"/>
      <c r="F14" s="258"/>
      <c r="G14" s="258"/>
      <c r="H14" s="258"/>
      <c r="I14" s="258"/>
      <c r="J14" s="258"/>
      <c r="K14" s="258"/>
      <c r="L14" s="258"/>
      <c r="M14" s="258"/>
      <c r="N14" s="237"/>
    </row>
    <row r="15" spans="1:27" s="244" customFormat="1" ht="19.5" customHeight="1" x14ac:dyDescent="0.4">
      <c r="B15" s="262" t="s">
        <v>251</v>
      </c>
      <c r="C15" s="239"/>
      <c r="D15" s="239"/>
      <c r="E15" s="239"/>
      <c r="F15" s="239"/>
      <c r="G15" s="239"/>
      <c r="H15" s="239"/>
      <c r="I15" s="239"/>
      <c r="J15" s="239"/>
      <c r="K15" s="239"/>
      <c r="L15" s="258"/>
      <c r="M15" s="258"/>
      <c r="N15" s="237"/>
    </row>
    <row r="16" spans="1:27" s="244" customFormat="1" ht="20.25" customHeight="1" x14ac:dyDescent="0.35">
      <c r="B16" s="262" t="s">
        <v>236</v>
      </c>
      <c r="C16" s="239"/>
      <c r="D16" s="239"/>
      <c r="E16" s="239"/>
      <c r="F16" s="239"/>
      <c r="G16" s="239"/>
      <c r="H16" s="239"/>
      <c r="I16" s="239"/>
      <c r="J16" s="239"/>
      <c r="K16" s="239"/>
    </row>
    <row r="17" spans="2:22" s="244" customFormat="1" ht="16.5" customHeight="1" thickBot="1" x14ac:dyDescent="0.3"/>
    <row r="18" spans="2:22" s="244" customFormat="1" ht="21.75" customHeight="1" thickTop="1" thickBot="1" x14ac:dyDescent="0.4">
      <c r="B18" s="258" t="s">
        <v>180</v>
      </c>
      <c r="C18" s="258"/>
      <c r="D18" s="258"/>
      <c r="E18" s="258"/>
      <c r="F18" s="258"/>
      <c r="G18" s="258"/>
      <c r="H18" s="258"/>
      <c r="I18" s="258"/>
      <c r="J18" s="258"/>
      <c r="K18" s="258"/>
      <c r="L18" s="258"/>
      <c r="M18" s="228">
        <v>0</v>
      </c>
    </row>
    <row r="19" spans="2:22" s="244" customFormat="1" ht="25.5" customHeight="1" thickTop="1" x14ac:dyDescent="0.35">
      <c r="B19" s="262" t="s">
        <v>252</v>
      </c>
      <c r="C19" s="258"/>
      <c r="D19" s="258"/>
      <c r="E19" s="258"/>
      <c r="F19" s="258"/>
      <c r="G19" s="258"/>
      <c r="H19" s="258"/>
      <c r="I19" s="258"/>
      <c r="J19" s="258"/>
      <c r="K19" s="258"/>
      <c r="L19" s="258"/>
      <c r="M19" s="258"/>
    </row>
    <row r="20" spans="2:22" s="244" customFormat="1" ht="15.75" customHeight="1" x14ac:dyDescent="0.4">
      <c r="B20" s="262" t="s">
        <v>219</v>
      </c>
      <c r="N20" s="237"/>
    </row>
    <row r="21" spans="2:22" s="244" customFormat="1" ht="19.5" customHeight="1" x14ac:dyDescent="0.4">
      <c r="B21" s="262" t="s">
        <v>238</v>
      </c>
      <c r="N21" s="237"/>
    </row>
    <row r="22" spans="2:22" s="244" customFormat="1" ht="17.25" customHeight="1" thickBot="1" x14ac:dyDescent="0.45">
      <c r="N22" s="237"/>
    </row>
    <row r="23" spans="2:22" s="244" customFormat="1" ht="22.5" customHeight="1" thickTop="1" thickBot="1" x14ac:dyDescent="0.45">
      <c r="B23" s="258" t="s">
        <v>184</v>
      </c>
      <c r="C23" s="237"/>
      <c r="D23" s="237"/>
      <c r="E23" s="237"/>
      <c r="F23" s="237"/>
      <c r="G23" s="237"/>
      <c r="H23" s="237"/>
      <c r="I23" s="237"/>
      <c r="J23" s="237"/>
      <c r="K23" s="237"/>
      <c r="L23" s="237"/>
      <c r="M23" s="227" t="s">
        <v>96</v>
      </c>
    </row>
    <row r="24" spans="2:22" s="244" customFormat="1" ht="21.75" customHeight="1" thickTop="1" x14ac:dyDescent="0.35">
      <c r="B24" s="262" t="s">
        <v>253</v>
      </c>
    </row>
    <row r="25" spans="2:22" s="244" customFormat="1" ht="21" x14ac:dyDescent="0.35">
      <c r="B25" s="262" t="s">
        <v>254</v>
      </c>
      <c r="V25" s="259" t="s">
        <v>94</v>
      </c>
    </row>
    <row r="26" spans="2:22" s="244" customFormat="1" ht="21" x14ac:dyDescent="0.35">
      <c r="B26" s="262" t="s">
        <v>255</v>
      </c>
      <c r="V26" s="259" t="s">
        <v>96</v>
      </c>
    </row>
    <row r="27" spans="2:22" s="244" customFormat="1" ht="13.5" customHeight="1" x14ac:dyDescent="0.25"/>
    <row r="28" spans="2:22" s="244" customFormat="1" ht="26.25" x14ac:dyDescent="0.4">
      <c r="K28" s="267" t="s">
        <v>181</v>
      </c>
    </row>
    <row r="29" spans="2:22" s="244" customFormat="1" ht="18" customHeight="1" x14ac:dyDescent="0.25"/>
    <row r="30" spans="2:22" s="244" customFormat="1" x14ac:dyDescent="0.25"/>
    <row r="31" spans="2:22" s="244" customFormat="1" x14ac:dyDescent="0.25"/>
    <row r="32" spans="2:22" s="244" customFormat="1" x14ac:dyDescent="0.25"/>
    <row r="33" spans="2:16" s="244" customFormat="1" x14ac:dyDescent="0.25"/>
    <row r="34" spans="2:16" s="244" customFormat="1" x14ac:dyDescent="0.25"/>
    <row r="35" spans="2:16" s="244" customFormat="1" x14ac:dyDescent="0.25"/>
    <row r="36" spans="2:16" s="244" customFormat="1" x14ac:dyDescent="0.25"/>
    <row r="37" spans="2:16" s="244" customFormat="1" x14ac:dyDescent="0.25"/>
    <row r="38" spans="2:16" s="244" customFormat="1" ht="21" x14ac:dyDescent="0.35">
      <c r="L38" s="239"/>
      <c r="M38" s="239"/>
      <c r="N38" s="239"/>
    </row>
    <row r="39" spans="2:16" s="244" customFormat="1" ht="21" x14ac:dyDescent="0.35">
      <c r="L39" s="239"/>
      <c r="M39" s="239"/>
      <c r="N39" s="239"/>
    </row>
    <row r="40" spans="2:16" s="244" customFormat="1" ht="21" x14ac:dyDescent="0.35">
      <c r="B40" s="239"/>
      <c r="C40" s="239"/>
      <c r="D40" s="239"/>
      <c r="E40" s="239"/>
      <c r="F40" s="239"/>
      <c r="G40" s="239"/>
      <c r="H40" s="239"/>
      <c r="I40" s="239"/>
      <c r="J40" s="239"/>
      <c r="K40" s="239"/>
      <c r="L40" s="239"/>
      <c r="M40" s="239"/>
      <c r="N40" s="239"/>
    </row>
    <row r="41" spans="2:16" s="244" customFormat="1" ht="21" x14ac:dyDescent="0.35">
      <c r="B41" s="239"/>
      <c r="C41" s="239"/>
      <c r="D41" s="239"/>
      <c r="E41" s="239"/>
      <c r="F41" s="239"/>
      <c r="G41" s="239"/>
      <c r="H41" s="239"/>
      <c r="I41" s="239"/>
      <c r="J41" s="239"/>
      <c r="K41" s="239"/>
      <c r="L41" s="239"/>
      <c r="M41" s="239"/>
      <c r="N41" s="239"/>
    </row>
    <row r="42" spans="2:16" s="244" customFormat="1" ht="21" x14ac:dyDescent="0.35">
      <c r="B42" s="239"/>
      <c r="C42" s="239"/>
      <c r="D42" s="239"/>
      <c r="E42" s="239"/>
      <c r="F42" s="239"/>
      <c r="G42" s="239"/>
      <c r="H42" s="239"/>
      <c r="I42" s="239"/>
      <c r="J42" s="239"/>
      <c r="K42" s="239"/>
      <c r="L42" s="239"/>
      <c r="M42" s="239"/>
      <c r="N42" s="239"/>
    </row>
    <row r="43" spans="2:16" s="244" customFormat="1" ht="21" x14ac:dyDescent="0.35">
      <c r="B43" s="239"/>
      <c r="C43" s="239"/>
      <c r="D43" s="239"/>
      <c r="E43" s="239"/>
      <c r="F43" s="239"/>
      <c r="G43" s="239"/>
      <c r="H43" s="239"/>
      <c r="I43" s="239"/>
      <c r="J43" s="239"/>
      <c r="K43" s="239"/>
      <c r="L43" s="239"/>
      <c r="M43" s="239"/>
      <c r="N43" s="239"/>
    </row>
    <row r="44" spans="2:16" s="244" customFormat="1" ht="26.25" x14ac:dyDescent="0.4">
      <c r="B44" s="239"/>
      <c r="C44" s="239"/>
      <c r="D44" s="239"/>
      <c r="E44" s="239"/>
      <c r="F44" s="239"/>
      <c r="G44" s="239"/>
      <c r="H44" s="239"/>
      <c r="I44" s="239"/>
      <c r="J44" s="239"/>
      <c r="K44" s="239"/>
      <c r="L44" s="239"/>
      <c r="M44" s="239"/>
      <c r="N44" s="239"/>
      <c r="O44" s="255"/>
      <c r="P44" s="255"/>
    </row>
    <row r="45" spans="2:16" s="244" customFormat="1" ht="26.25" x14ac:dyDescent="0.4">
      <c r="B45" s="239"/>
      <c r="C45" s="239"/>
      <c r="D45" s="239"/>
      <c r="E45" s="239"/>
      <c r="F45" s="239"/>
      <c r="G45" s="239"/>
      <c r="H45" s="239"/>
      <c r="I45" s="239"/>
      <c r="J45" s="239"/>
      <c r="K45" s="239"/>
      <c r="L45" s="239"/>
      <c r="M45" s="239"/>
      <c r="N45" s="239"/>
      <c r="O45" s="237"/>
      <c r="P45" s="255"/>
    </row>
    <row r="46" spans="2:16" s="244" customFormat="1" ht="26.25" x14ac:dyDescent="0.4">
      <c r="C46" s="239"/>
      <c r="D46" s="239"/>
      <c r="E46" s="239"/>
      <c r="F46" s="239"/>
      <c r="G46" s="239"/>
      <c r="H46" s="239"/>
      <c r="I46" s="239"/>
      <c r="J46" s="239"/>
      <c r="K46" s="239"/>
      <c r="L46" s="239"/>
      <c r="M46" s="239"/>
      <c r="N46" s="239"/>
      <c r="O46" s="237"/>
      <c r="P46" s="255"/>
    </row>
    <row r="47" spans="2:16" s="244" customFormat="1" ht="26.25" x14ac:dyDescent="0.4">
      <c r="B47" s="239"/>
      <c r="C47" s="239"/>
      <c r="D47" s="239"/>
      <c r="E47" s="239"/>
      <c r="F47" s="239"/>
      <c r="G47" s="239"/>
      <c r="H47" s="239"/>
      <c r="I47" s="239"/>
      <c r="J47" s="239"/>
      <c r="K47" s="239"/>
      <c r="L47" s="239"/>
      <c r="M47" s="239"/>
      <c r="N47" s="239"/>
      <c r="O47" s="237"/>
      <c r="P47" s="255"/>
    </row>
    <row r="48" spans="2:16" s="244" customFormat="1" ht="26.25" x14ac:dyDescent="0.4">
      <c r="B48" s="239" t="s">
        <v>183</v>
      </c>
      <c r="C48" s="239"/>
      <c r="D48" s="239"/>
      <c r="E48" s="239"/>
      <c r="F48" s="239"/>
      <c r="G48" s="239"/>
      <c r="H48" s="239"/>
      <c r="I48" s="239"/>
      <c r="J48" s="239"/>
      <c r="K48" s="239"/>
      <c r="L48" s="239"/>
      <c r="M48" s="239"/>
      <c r="N48" s="239"/>
      <c r="O48" s="237"/>
      <c r="P48" s="255"/>
    </row>
    <row r="49" spans="2:16" s="244" customFormat="1" ht="26.25" x14ac:dyDescent="0.4">
      <c r="B49" s="239" t="s">
        <v>220</v>
      </c>
      <c r="C49" s="239"/>
      <c r="D49" s="239"/>
      <c r="E49" s="239"/>
      <c r="F49" s="239"/>
      <c r="G49" s="239"/>
      <c r="H49" s="239"/>
      <c r="I49" s="239"/>
      <c r="J49" s="239"/>
      <c r="K49" s="239"/>
      <c r="L49" s="239"/>
      <c r="M49" s="239"/>
      <c r="N49" s="239"/>
      <c r="O49" s="237"/>
      <c r="P49" s="255"/>
    </row>
    <row r="50" spans="2:16" s="244" customFormat="1" x14ac:dyDescent="0.25"/>
    <row r="51" spans="2:16" s="244" customFormat="1" x14ac:dyDescent="0.25"/>
    <row r="52" spans="2:16" s="244" customFormat="1" x14ac:dyDescent="0.25"/>
    <row r="53" spans="2:16" s="244" customFormat="1" x14ac:dyDescent="0.25"/>
    <row r="54" spans="2:16" s="244" customFormat="1" x14ac:dyDescent="0.25"/>
    <row r="55" spans="2:16" s="244" customFormat="1" x14ac:dyDescent="0.25"/>
    <row r="56" spans="2:16" s="244" customFormat="1" x14ac:dyDescent="0.25"/>
    <row r="57" spans="2:16" s="244" customFormat="1" x14ac:dyDescent="0.25"/>
    <row r="58" spans="2:16" s="244" customFormat="1" x14ac:dyDescent="0.25"/>
    <row r="59" spans="2:16" s="244" customFormat="1" x14ac:dyDescent="0.25"/>
    <row r="60" spans="2:16" s="244" customFormat="1" x14ac:dyDescent="0.25"/>
    <row r="61" spans="2:16" s="244" customFormat="1" x14ac:dyDescent="0.25"/>
    <row r="62" spans="2:16" s="244" customFormat="1" x14ac:dyDescent="0.25"/>
    <row r="63" spans="2:16" s="244" customFormat="1" x14ac:dyDescent="0.25"/>
    <row r="64" spans="2:16" s="244" customFormat="1" x14ac:dyDescent="0.25"/>
    <row r="65" s="244" customFormat="1" x14ac:dyDescent="0.25"/>
    <row r="66" s="244" customFormat="1" x14ac:dyDescent="0.25"/>
    <row r="67" s="244" customFormat="1" x14ac:dyDescent="0.25"/>
    <row r="68" s="244" customFormat="1" x14ac:dyDescent="0.25"/>
    <row r="69" s="244" customFormat="1" x14ac:dyDescent="0.25"/>
    <row r="70" s="244" customFormat="1" x14ac:dyDescent="0.25"/>
    <row r="71" s="244" customFormat="1" x14ac:dyDescent="0.25"/>
    <row r="72" s="244" customFormat="1" x14ac:dyDescent="0.25"/>
    <row r="73" s="244" customFormat="1" x14ac:dyDescent="0.25"/>
    <row r="74" s="244" customFormat="1" x14ac:dyDescent="0.25"/>
    <row r="75" s="244" customFormat="1" x14ac:dyDescent="0.25"/>
  </sheetData>
  <sheetProtection algorithmName="SHA-512" hashValue="J2a7qbDeskeaWzzjX55J0Ja25/FgAHsX/y7Ks9SBQ9dyteSMfLxvZpS3/R9fsUF57MZEFi7bdXtZOzsU1mB7Vg==" saltValue="AOV1iib48LXsq7UzKGA0bg==" spinCount="100000" sheet="1" objects="1" scenarios="1"/>
  <dataValidations count="1">
    <dataValidation type="list" allowBlank="1" showInputMessage="1" showErrorMessage="1" sqref="M23" xr:uid="{0A28F051-1882-4103-948B-E6FFD28534B1}">
      <formula1>$V$25:$V$26</formula1>
    </dataValidation>
  </dataValidations>
  <hyperlinks>
    <hyperlink ref="K28" location="'2015 Scheme Information'!A1" display="Proceed to 2015 Scheme Information" xr:uid="{BDD0CE13-703B-4194-B534-8077B73BC5CB}"/>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FE21F-65BC-4D8A-A2D1-ADCCFC2F058A}">
  <dimension ref="A1:S244"/>
  <sheetViews>
    <sheetView showGridLines="0" showRowColHeaders="0" topLeftCell="A3" workbookViewId="0">
      <selection activeCell="G25" sqref="G25"/>
    </sheetView>
  </sheetViews>
  <sheetFormatPr defaultRowHeight="15" x14ac:dyDescent="0.25"/>
  <cols>
    <col min="1" max="9" width="9.140625" style="261"/>
    <col min="10" max="10" width="25.42578125" style="261" customWidth="1"/>
    <col min="11" max="11" width="30.85546875" style="261" customWidth="1"/>
    <col min="12" max="12" width="16.85546875" style="261" bestFit="1" customWidth="1"/>
    <col min="13" max="13" width="19.7109375" style="261" customWidth="1"/>
    <col min="14" max="16384" width="9.140625" style="261"/>
  </cols>
  <sheetData>
    <row r="1" spans="1:19" s="213" customFormat="1" ht="33.75" x14ac:dyDescent="0.5">
      <c r="D1" s="214" t="s">
        <v>263</v>
      </c>
      <c r="E1" s="215"/>
      <c r="F1" s="215"/>
      <c r="G1" s="215"/>
      <c r="H1" s="215"/>
      <c r="I1" s="215"/>
      <c r="J1" s="215"/>
      <c r="K1" s="215"/>
      <c r="L1" s="215"/>
      <c r="M1" s="215"/>
      <c r="N1" s="215"/>
      <c r="O1" s="215"/>
      <c r="P1" s="215"/>
      <c r="Q1" s="216"/>
      <c r="R1" s="216"/>
      <c r="S1" s="216"/>
    </row>
    <row r="2" spans="1:19" s="213" customFormat="1" ht="26.25" x14ac:dyDescent="0.25">
      <c r="A2" s="217"/>
    </row>
    <row r="3" spans="1:19" s="244" customFormat="1" ht="12" customHeight="1" x14ac:dyDescent="0.25"/>
    <row r="4" spans="1:19" s="244" customFormat="1" ht="11.25" hidden="1" customHeight="1" x14ac:dyDescent="0.25"/>
    <row r="5" spans="1:19" s="244" customFormat="1" ht="26.25" x14ac:dyDescent="0.4">
      <c r="B5" s="219" t="s">
        <v>233</v>
      </c>
      <c r="C5" s="260"/>
      <c r="D5" s="260"/>
      <c r="E5" s="260"/>
      <c r="F5" s="260"/>
      <c r="G5" s="260"/>
      <c r="H5" s="260"/>
      <c r="I5" s="260"/>
      <c r="J5" s="260"/>
      <c r="K5" s="260"/>
      <c r="L5" s="258"/>
      <c r="M5" s="258"/>
      <c r="N5" s="258"/>
      <c r="O5" s="258"/>
    </row>
    <row r="6" spans="1:19" s="244" customFormat="1" ht="10.5" customHeight="1" x14ac:dyDescent="0.35">
      <c r="B6" s="258"/>
      <c r="C6" s="258"/>
      <c r="D6" s="258"/>
      <c r="E6" s="258"/>
      <c r="F6" s="258"/>
      <c r="G6" s="258"/>
      <c r="H6" s="258"/>
      <c r="I6" s="258"/>
      <c r="J6" s="258"/>
      <c r="K6" s="258"/>
      <c r="L6" s="258"/>
      <c r="M6" s="258"/>
      <c r="N6" s="258"/>
      <c r="O6" s="258"/>
    </row>
    <row r="7" spans="1:19" s="244" customFormat="1" ht="20.25" customHeight="1" x14ac:dyDescent="0.35">
      <c r="B7" s="239" t="s">
        <v>185</v>
      </c>
      <c r="C7" s="239"/>
      <c r="D7" s="239"/>
      <c r="E7" s="239"/>
      <c r="F7" s="239"/>
      <c r="G7" s="239"/>
      <c r="H7" s="239"/>
      <c r="I7" s="239"/>
      <c r="J7" s="239"/>
      <c r="K7" s="239"/>
      <c r="L7" s="239"/>
      <c r="M7" s="256"/>
      <c r="N7" s="256"/>
    </row>
    <row r="8" spans="1:19" s="244" customFormat="1" ht="9.75" hidden="1" customHeight="1" x14ac:dyDescent="0.35">
      <c r="B8" s="239"/>
      <c r="C8" s="239"/>
      <c r="D8" s="239"/>
      <c r="E8" s="239"/>
      <c r="F8" s="239"/>
      <c r="G8" s="239"/>
      <c r="H8" s="239"/>
      <c r="I8" s="239"/>
      <c r="J8" s="239"/>
      <c r="K8" s="239"/>
      <c r="L8" s="239"/>
      <c r="M8" s="256"/>
      <c r="N8" s="256"/>
    </row>
    <row r="9" spans="1:19" s="244" customFormat="1" ht="21" x14ac:dyDescent="0.35">
      <c r="B9" s="239" t="s">
        <v>247</v>
      </c>
      <c r="C9" s="239"/>
      <c r="D9" s="239"/>
      <c r="E9" s="239"/>
      <c r="F9" s="239"/>
      <c r="G9" s="239"/>
      <c r="H9" s="239"/>
      <c r="I9" s="239"/>
      <c r="J9" s="239"/>
      <c r="K9" s="239"/>
      <c r="L9" s="239"/>
      <c r="M9" s="256"/>
      <c r="N9" s="256"/>
    </row>
    <row r="10" spans="1:19" s="244" customFormat="1" ht="5.25" customHeight="1" x14ac:dyDescent="0.25"/>
    <row r="11" spans="1:19" s="244" customFormat="1" ht="22.5" customHeight="1" x14ac:dyDescent="0.35">
      <c r="B11" s="239" t="s">
        <v>239</v>
      </c>
    </row>
    <row r="12" spans="1:19" s="244" customFormat="1" ht="9.75" customHeight="1" thickBot="1" x14ac:dyDescent="0.3"/>
    <row r="13" spans="1:19" s="244" customFormat="1" ht="29.25" customHeight="1" thickTop="1" thickBot="1" x14ac:dyDescent="0.4">
      <c r="B13" s="258" t="s">
        <v>172</v>
      </c>
      <c r="C13" s="258"/>
      <c r="D13" s="258"/>
      <c r="E13" s="258"/>
      <c r="F13" s="258"/>
      <c r="G13" s="258"/>
      <c r="H13" s="258"/>
      <c r="I13" s="258"/>
      <c r="J13" s="258"/>
      <c r="K13" s="258"/>
      <c r="M13" s="228">
        <v>0</v>
      </c>
    </row>
    <row r="14" spans="1:19" s="244" customFormat="1" ht="3" customHeight="1" thickTop="1" x14ac:dyDescent="0.25"/>
    <row r="15" spans="1:19" s="244" customFormat="1" ht="21" x14ac:dyDescent="0.35">
      <c r="B15" s="262" t="s">
        <v>274</v>
      </c>
      <c r="C15" s="262"/>
      <c r="D15" s="262"/>
      <c r="E15" s="262"/>
      <c r="F15" s="262"/>
      <c r="G15" s="262"/>
      <c r="H15" s="262"/>
      <c r="I15" s="262"/>
      <c r="J15" s="262"/>
      <c r="K15" s="262"/>
      <c r="L15" s="262"/>
      <c r="M15" s="268"/>
    </row>
    <row r="16" spans="1:19" s="244" customFormat="1" ht="19.5" customHeight="1" x14ac:dyDescent="0.35">
      <c r="B16" s="262" t="s">
        <v>275</v>
      </c>
      <c r="C16" s="262"/>
      <c r="D16" s="262"/>
      <c r="E16" s="262"/>
      <c r="F16" s="262"/>
      <c r="G16" s="262"/>
      <c r="H16" s="262"/>
      <c r="I16" s="262"/>
      <c r="J16" s="262"/>
      <c r="K16" s="262"/>
      <c r="L16" s="262"/>
      <c r="M16" s="268"/>
    </row>
    <row r="17" spans="2:15" s="244" customFormat="1" ht="5.25" customHeight="1" x14ac:dyDescent="0.25"/>
    <row r="18" spans="2:15" s="244" customFormat="1" ht="21.75" customHeight="1" x14ac:dyDescent="0.35">
      <c r="B18" s="239" t="s">
        <v>256</v>
      </c>
      <c r="C18" s="239"/>
      <c r="D18" s="239"/>
      <c r="E18" s="239"/>
      <c r="F18" s="239"/>
      <c r="G18" s="239"/>
      <c r="H18" s="239"/>
      <c r="I18" s="239"/>
      <c r="J18" s="239"/>
      <c r="K18" s="239"/>
      <c r="L18" s="239"/>
    </row>
    <row r="19" spans="2:15" s="244" customFormat="1" ht="21" x14ac:dyDescent="0.35">
      <c r="B19" s="239" t="s">
        <v>276</v>
      </c>
      <c r="C19" s="239"/>
      <c r="D19" s="239"/>
      <c r="E19" s="239"/>
      <c r="F19" s="239"/>
      <c r="G19" s="239"/>
      <c r="H19" s="239"/>
      <c r="I19" s="239"/>
      <c r="J19" s="239"/>
      <c r="K19" s="239"/>
      <c r="L19" s="239"/>
    </row>
    <row r="20" spans="2:15" s="244" customFormat="1" ht="7.5" customHeight="1" x14ac:dyDescent="0.25">
      <c r="B20" s="236"/>
      <c r="C20" s="236"/>
      <c r="D20" s="236"/>
      <c r="E20" s="236"/>
      <c r="F20" s="236"/>
      <c r="G20" s="236"/>
      <c r="H20" s="236"/>
      <c r="I20" s="236"/>
      <c r="J20" s="236"/>
      <c r="K20" s="236"/>
      <c r="L20" s="236"/>
    </row>
    <row r="21" spans="2:15" s="244" customFormat="1" ht="23.25" x14ac:dyDescent="0.35">
      <c r="B21" s="258" t="s">
        <v>250</v>
      </c>
      <c r="C21" s="258"/>
      <c r="D21" s="258"/>
      <c r="E21" s="258"/>
      <c r="F21" s="258"/>
      <c r="G21" s="258"/>
      <c r="H21" s="258"/>
      <c r="I21" s="258"/>
      <c r="J21" s="258"/>
      <c r="K21" s="258"/>
      <c r="L21" s="258"/>
      <c r="M21" s="258"/>
      <c r="O21" s="258"/>
    </row>
    <row r="22" spans="2:15" s="244" customFormat="1" ht="18" customHeight="1" x14ac:dyDescent="0.35">
      <c r="B22" s="258" t="s">
        <v>173</v>
      </c>
      <c r="C22" s="258"/>
      <c r="D22" s="258"/>
      <c r="E22" s="258"/>
      <c r="F22" s="258"/>
      <c r="G22" s="258"/>
      <c r="H22" s="258"/>
      <c r="I22" s="258"/>
      <c r="J22" s="258"/>
    </row>
    <row r="23" spans="2:15" s="244" customFormat="1" ht="18" customHeight="1" thickBot="1" x14ac:dyDescent="0.4">
      <c r="B23" s="258"/>
      <c r="C23" s="258"/>
      <c r="D23" s="258"/>
      <c r="E23" s="258"/>
      <c r="F23" s="258"/>
      <c r="G23" s="258"/>
      <c r="H23" s="258"/>
      <c r="I23" s="258"/>
      <c r="J23" s="258"/>
      <c r="K23" s="258"/>
      <c r="L23" s="258"/>
      <c r="M23" s="258" t="s">
        <v>158</v>
      </c>
      <c r="N23" s="258"/>
      <c r="O23" s="258"/>
    </row>
    <row r="24" spans="2:15" s="244" customFormat="1" ht="24" customHeight="1" thickTop="1" thickBot="1" x14ac:dyDescent="0.4">
      <c r="B24" s="262" t="s">
        <v>257</v>
      </c>
      <c r="C24" s="258"/>
      <c r="D24" s="258"/>
      <c r="E24" s="258"/>
      <c r="F24" s="258"/>
      <c r="G24" s="258"/>
      <c r="H24" s="258"/>
      <c r="I24" s="258"/>
      <c r="J24" s="258"/>
      <c r="K24" s="258" t="s">
        <v>156</v>
      </c>
      <c r="L24" s="258"/>
      <c r="M24" s="228">
        <v>0</v>
      </c>
      <c r="N24" s="258"/>
      <c r="O24" s="258"/>
    </row>
    <row r="25" spans="2:15" s="244" customFormat="1" ht="23.25" customHeight="1" thickTop="1" thickBot="1" x14ac:dyDescent="0.4">
      <c r="B25" s="262" t="s">
        <v>259</v>
      </c>
      <c r="C25" s="258"/>
      <c r="D25" s="258"/>
      <c r="E25" s="258"/>
      <c r="F25" s="258"/>
      <c r="G25" s="258"/>
      <c r="H25" s="258"/>
      <c r="I25" s="258"/>
      <c r="J25" s="258"/>
      <c r="K25" s="258" t="s">
        <v>159</v>
      </c>
      <c r="L25" s="258"/>
      <c r="M25" s="228">
        <v>0</v>
      </c>
      <c r="N25" s="258"/>
      <c r="O25" s="258"/>
    </row>
    <row r="26" spans="2:15" s="244" customFormat="1" ht="21.75" customHeight="1" thickTop="1" thickBot="1" x14ac:dyDescent="0.4">
      <c r="B26" s="262" t="s">
        <v>258</v>
      </c>
      <c r="C26" s="258"/>
      <c r="D26" s="258"/>
      <c r="E26" s="258"/>
      <c r="F26" s="258"/>
      <c r="G26" s="258"/>
      <c r="H26" s="258"/>
      <c r="I26" s="258"/>
      <c r="J26" s="258"/>
      <c r="K26" s="258" t="s">
        <v>160</v>
      </c>
      <c r="L26" s="258"/>
      <c r="M26" s="228">
        <v>0</v>
      </c>
      <c r="N26" s="258"/>
      <c r="O26" s="258"/>
    </row>
    <row r="27" spans="2:15" s="244" customFormat="1" ht="22.5" customHeight="1" thickTop="1" thickBot="1" x14ac:dyDescent="0.4">
      <c r="B27" s="262" t="s">
        <v>262</v>
      </c>
      <c r="C27" s="258"/>
      <c r="D27" s="258"/>
      <c r="E27" s="258"/>
      <c r="F27" s="258"/>
      <c r="G27" s="258"/>
      <c r="H27" s="258"/>
      <c r="I27" s="258"/>
      <c r="J27" s="258"/>
      <c r="K27" s="258" t="s">
        <v>161</v>
      </c>
      <c r="L27" s="258"/>
      <c r="M27" s="228">
        <v>0</v>
      </c>
      <c r="N27" s="258"/>
      <c r="O27" s="258"/>
    </row>
    <row r="28" spans="2:15" s="244" customFormat="1" ht="21" customHeight="1" thickTop="1" thickBot="1" x14ac:dyDescent="0.4">
      <c r="B28" s="262" t="s">
        <v>260</v>
      </c>
      <c r="K28" s="258" t="s">
        <v>162</v>
      </c>
      <c r="L28" s="258"/>
      <c r="M28" s="228">
        <v>0</v>
      </c>
      <c r="N28" s="258"/>
      <c r="O28" s="258"/>
    </row>
    <row r="29" spans="2:15" s="244" customFormat="1" ht="18" customHeight="1" thickTop="1" x14ac:dyDescent="0.35">
      <c r="B29" s="262" t="s">
        <v>261</v>
      </c>
      <c r="N29" s="258"/>
      <c r="O29" s="258"/>
    </row>
    <row r="30" spans="2:15" s="244" customFormat="1" ht="23.25" x14ac:dyDescent="0.35">
      <c r="K30" s="241" t="s">
        <v>188</v>
      </c>
      <c r="N30" s="258"/>
      <c r="O30" s="258"/>
    </row>
    <row r="31" spans="2:15" s="244" customFormat="1" ht="23.25" x14ac:dyDescent="0.35">
      <c r="N31" s="258"/>
      <c r="O31" s="258"/>
    </row>
    <row r="32" spans="2:15" s="244" customFormat="1" ht="23.25" x14ac:dyDescent="0.35">
      <c r="N32" s="258"/>
      <c r="O32" s="258"/>
    </row>
    <row r="33" s="244" customFormat="1" x14ac:dyDescent="0.25"/>
    <row r="34" s="244" customFormat="1" x14ac:dyDescent="0.25"/>
    <row r="35" s="244" customFormat="1" x14ac:dyDescent="0.25"/>
    <row r="36" s="244" customFormat="1" x14ac:dyDescent="0.25"/>
    <row r="37" s="244" customFormat="1" x14ac:dyDescent="0.25"/>
    <row r="38" s="244" customFormat="1" x14ac:dyDescent="0.25"/>
    <row r="39" s="244" customFormat="1" x14ac:dyDescent="0.25"/>
    <row r="40" s="244" customFormat="1" x14ac:dyDescent="0.25"/>
    <row r="41" s="244" customFormat="1" x14ac:dyDescent="0.25"/>
    <row r="42" s="244" customFormat="1" x14ac:dyDescent="0.25"/>
    <row r="43" s="244" customFormat="1" x14ac:dyDescent="0.25"/>
    <row r="44" s="244" customFormat="1" x14ac:dyDescent="0.25"/>
    <row r="45" s="244" customFormat="1" x14ac:dyDescent="0.25"/>
    <row r="46" s="244" customFormat="1" x14ac:dyDescent="0.25"/>
    <row r="47" s="244" customFormat="1" x14ac:dyDescent="0.25"/>
    <row r="48" s="244" customFormat="1" x14ac:dyDescent="0.25"/>
    <row r="49" s="244" customFormat="1" x14ac:dyDescent="0.25"/>
    <row r="50" s="244" customFormat="1" x14ac:dyDescent="0.25"/>
    <row r="51" s="244" customFormat="1" x14ac:dyDescent="0.25"/>
    <row r="52" s="244" customFormat="1" x14ac:dyDescent="0.25"/>
    <row r="53" s="244" customFormat="1" x14ac:dyDescent="0.25"/>
    <row r="54" s="244" customFormat="1" x14ac:dyDescent="0.25"/>
    <row r="55" s="244" customFormat="1" x14ac:dyDescent="0.25"/>
    <row r="56" s="244" customFormat="1" x14ac:dyDescent="0.25"/>
    <row r="57" s="244" customFormat="1" x14ac:dyDescent="0.25"/>
    <row r="58" s="244" customFormat="1" x14ac:dyDescent="0.25"/>
    <row r="59" s="244" customFormat="1" x14ac:dyDescent="0.25"/>
    <row r="60" s="244" customFormat="1" x14ac:dyDescent="0.25"/>
    <row r="61" s="244" customFormat="1" x14ac:dyDescent="0.25"/>
    <row r="62" s="244" customFormat="1" x14ac:dyDescent="0.25"/>
    <row r="63" s="244" customFormat="1" x14ac:dyDescent="0.25"/>
    <row r="64" s="244" customFormat="1" x14ac:dyDescent="0.25"/>
    <row r="65" s="244" customFormat="1" x14ac:dyDescent="0.25"/>
    <row r="66" s="244" customFormat="1" x14ac:dyDescent="0.25"/>
    <row r="67" s="244" customFormat="1" x14ac:dyDescent="0.25"/>
    <row r="68" s="244" customFormat="1" x14ac:dyDescent="0.25"/>
    <row r="69" s="244" customFormat="1" x14ac:dyDescent="0.25"/>
    <row r="70" s="244" customFormat="1" x14ac:dyDescent="0.25"/>
    <row r="71" s="244" customFormat="1" x14ac:dyDescent="0.25"/>
    <row r="72" s="244" customFormat="1" x14ac:dyDescent="0.25"/>
    <row r="73" s="244" customFormat="1" x14ac:dyDescent="0.25"/>
    <row r="74" s="244" customFormat="1" x14ac:dyDescent="0.25"/>
    <row r="75" s="244" customFormat="1" x14ac:dyDescent="0.25"/>
    <row r="76" s="244" customFormat="1" x14ac:dyDescent="0.25"/>
    <row r="77" s="244" customFormat="1" x14ac:dyDescent="0.25"/>
    <row r="78" s="244" customFormat="1" x14ac:dyDescent="0.25"/>
    <row r="79" s="244" customFormat="1" x14ac:dyDescent="0.25"/>
    <row r="80" s="244" customFormat="1" x14ac:dyDescent="0.25"/>
    <row r="81" s="244" customFormat="1" x14ac:dyDescent="0.25"/>
    <row r="82" s="244" customFormat="1" x14ac:dyDescent="0.25"/>
    <row r="83" s="244" customFormat="1" x14ac:dyDescent="0.25"/>
    <row r="84" s="244" customFormat="1" x14ac:dyDescent="0.25"/>
    <row r="85" s="244" customFormat="1" x14ac:dyDescent="0.25"/>
    <row r="86" s="244" customFormat="1" x14ac:dyDescent="0.25"/>
    <row r="87" s="244" customFormat="1" x14ac:dyDescent="0.25"/>
    <row r="88" s="244" customFormat="1" x14ac:dyDescent="0.25"/>
    <row r="89" s="244" customFormat="1" x14ac:dyDescent="0.25"/>
    <row r="90" s="244" customFormat="1" x14ac:dyDescent="0.25"/>
    <row r="91" s="244" customFormat="1" x14ac:dyDescent="0.25"/>
    <row r="92" s="244" customFormat="1" x14ac:dyDescent="0.25"/>
    <row r="93" s="244" customFormat="1" x14ac:dyDescent="0.25"/>
    <row r="94" s="244" customFormat="1" x14ac:dyDescent="0.25"/>
    <row r="95" s="244" customFormat="1" x14ac:dyDescent="0.25"/>
    <row r="96" s="244" customFormat="1" x14ac:dyDescent="0.25"/>
    <row r="97" s="244" customFormat="1" x14ac:dyDescent="0.25"/>
    <row r="98" s="244" customFormat="1" x14ac:dyDescent="0.25"/>
    <row r="99" s="244" customFormat="1" x14ac:dyDescent="0.25"/>
    <row r="100" s="244" customFormat="1" x14ac:dyDescent="0.25"/>
    <row r="101" s="244" customFormat="1" x14ac:dyDescent="0.25"/>
    <row r="102" s="244" customFormat="1" x14ac:dyDescent="0.25"/>
    <row r="103" s="244" customFormat="1" x14ac:dyDescent="0.25"/>
    <row r="104" s="244" customFormat="1" x14ac:dyDescent="0.25"/>
    <row r="105" s="244" customFormat="1" x14ac:dyDescent="0.25"/>
    <row r="106" s="244" customFormat="1" x14ac:dyDescent="0.25"/>
    <row r="107" s="244" customFormat="1" x14ac:dyDescent="0.25"/>
    <row r="108" s="244" customFormat="1" x14ac:dyDescent="0.25"/>
    <row r="109" s="244" customFormat="1" x14ac:dyDescent="0.25"/>
    <row r="110" s="244" customFormat="1" x14ac:dyDescent="0.25"/>
    <row r="111" s="244" customFormat="1" x14ac:dyDescent="0.25"/>
    <row r="112" s="244" customFormat="1" x14ac:dyDescent="0.25"/>
    <row r="113" spans="3:15" s="244" customFormat="1" x14ac:dyDescent="0.25"/>
    <row r="114" spans="3:15" s="244" customFormat="1" x14ac:dyDescent="0.25"/>
    <row r="115" spans="3:15" s="244" customFormat="1" x14ac:dyDescent="0.25"/>
    <row r="116" spans="3:15" s="244" customFormat="1" x14ac:dyDescent="0.25"/>
    <row r="117" spans="3:15" s="244" customFormat="1" x14ac:dyDescent="0.25"/>
    <row r="118" spans="3:15" s="244" customFormat="1" x14ac:dyDescent="0.25"/>
    <row r="119" spans="3:15" s="244" customFormat="1" x14ac:dyDescent="0.25"/>
    <row r="120" spans="3:15" s="244" customFormat="1" x14ac:dyDescent="0.25"/>
    <row r="121" spans="3:15" s="244" customFormat="1" x14ac:dyDescent="0.25"/>
    <row r="122" spans="3:15" s="244" customFormat="1" x14ac:dyDescent="0.25"/>
    <row r="123" spans="3:15" s="244" customFormat="1" ht="21" x14ac:dyDescent="0.35">
      <c r="O123" s="256"/>
    </row>
    <row r="124" spans="3:15" s="244" customFormat="1" ht="21" x14ac:dyDescent="0.35">
      <c r="O124" s="256"/>
    </row>
    <row r="125" spans="3:15" s="244" customFormat="1" ht="21" x14ac:dyDescent="0.35">
      <c r="N125" s="256"/>
      <c r="O125" s="256"/>
    </row>
    <row r="126" spans="3:15" s="244" customFormat="1" ht="21" x14ac:dyDescent="0.35">
      <c r="N126" s="256"/>
      <c r="O126" s="256"/>
    </row>
    <row r="127" spans="3:15" s="244" customFormat="1" ht="21" x14ac:dyDescent="0.35">
      <c r="C127" s="239"/>
      <c r="D127" s="239"/>
      <c r="E127" s="239"/>
      <c r="F127" s="239"/>
      <c r="G127" s="239"/>
      <c r="H127" s="239"/>
      <c r="I127" s="239"/>
      <c r="J127" s="239"/>
      <c r="K127" s="239"/>
      <c r="L127" s="239"/>
      <c r="M127" s="239"/>
      <c r="N127" s="256"/>
      <c r="O127" s="256"/>
    </row>
    <row r="128" spans="3:15" s="244" customFormat="1" ht="21" x14ac:dyDescent="0.35">
      <c r="C128" s="239"/>
      <c r="D128" s="239"/>
      <c r="E128" s="239"/>
      <c r="F128" s="239"/>
      <c r="G128" s="239"/>
      <c r="H128" s="239"/>
      <c r="I128" s="239"/>
      <c r="J128" s="239"/>
      <c r="K128" s="239"/>
      <c r="L128" s="239"/>
      <c r="M128" s="239"/>
      <c r="N128" s="256"/>
      <c r="O128" s="256"/>
    </row>
    <row r="129" spans="3:15" s="244" customFormat="1" ht="21" x14ac:dyDescent="0.35">
      <c r="D129" s="239"/>
      <c r="E129" s="239"/>
      <c r="F129" s="239"/>
      <c r="G129" s="239"/>
      <c r="H129" s="239"/>
      <c r="I129" s="239"/>
      <c r="J129" s="239"/>
      <c r="K129" s="239"/>
      <c r="L129" s="239"/>
      <c r="M129" s="239"/>
      <c r="N129" s="256"/>
      <c r="O129" s="256"/>
    </row>
    <row r="130" spans="3:15" s="244" customFormat="1" ht="21" x14ac:dyDescent="0.35">
      <c r="C130" s="239"/>
      <c r="D130" s="239"/>
      <c r="E130" s="239"/>
      <c r="F130" s="239"/>
      <c r="G130" s="239"/>
      <c r="H130" s="239"/>
      <c r="I130" s="239"/>
      <c r="J130" s="239"/>
      <c r="K130" s="239"/>
      <c r="L130" s="239"/>
      <c r="M130" s="239"/>
      <c r="N130" s="256"/>
      <c r="O130" s="256"/>
    </row>
    <row r="131" spans="3:15" s="244" customFormat="1" ht="21" x14ac:dyDescent="0.35">
      <c r="C131" s="239"/>
      <c r="D131" s="239"/>
      <c r="E131" s="239"/>
      <c r="F131" s="239"/>
      <c r="G131" s="239"/>
      <c r="H131" s="239"/>
      <c r="I131" s="239"/>
      <c r="J131" s="239"/>
      <c r="K131" s="239"/>
      <c r="L131" s="239"/>
      <c r="M131" s="239"/>
      <c r="N131" s="256"/>
      <c r="O131" s="256"/>
    </row>
    <row r="132" spans="3:15" s="244" customFormat="1" ht="21" x14ac:dyDescent="0.35">
      <c r="C132" s="239" t="s">
        <v>187</v>
      </c>
      <c r="D132" s="239"/>
      <c r="E132" s="239"/>
      <c r="F132" s="239"/>
      <c r="G132" s="239"/>
      <c r="H132" s="239"/>
      <c r="I132" s="239"/>
      <c r="J132" s="239"/>
      <c r="K132" s="239"/>
      <c r="L132" s="239"/>
      <c r="M132" s="239"/>
      <c r="N132" s="256"/>
      <c r="O132" s="256"/>
    </row>
    <row r="133" spans="3:15" s="244" customFormat="1" x14ac:dyDescent="0.25"/>
    <row r="134" spans="3:15" s="244" customFormat="1" x14ac:dyDescent="0.25"/>
    <row r="135" spans="3:15" s="244" customFormat="1" x14ac:dyDescent="0.25"/>
    <row r="136" spans="3:15" s="244" customFormat="1" x14ac:dyDescent="0.25"/>
    <row r="137" spans="3:15" s="244" customFormat="1" x14ac:dyDescent="0.25"/>
    <row r="138" spans="3:15" s="244" customFormat="1" x14ac:dyDescent="0.25"/>
    <row r="139" spans="3:15" s="244" customFormat="1" x14ac:dyDescent="0.25"/>
    <row r="140" spans="3:15" s="244" customFormat="1" x14ac:dyDescent="0.25"/>
    <row r="141" spans="3:15" s="244" customFormat="1" x14ac:dyDescent="0.25"/>
    <row r="142" spans="3:15" s="244" customFormat="1" x14ac:dyDescent="0.25"/>
    <row r="143" spans="3:15" s="244" customFormat="1" x14ac:dyDescent="0.25"/>
    <row r="144" spans="3:15" s="244" customFormat="1" x14ac:dyDescent="0.25"/>
    <row r="145" s="244" customFormat="1" x14ac:dyDescent="0.25"/>
    <row r="146" s="244" customFormat="1" x14ac:dyDescent="0.25"/>
    <row r="147" s="244" customFormat="1" x14ac:dyDescent="0.25"/>
    <row r="148" s="244" customFormat="1" x14ac:dyDescent="0.25"/>
    <row r="149" s="244" customFormat="1" x14ac:dyDescent="0.25"/>
    <row r="150" s="244" customFormat="1" x14ac:dyDescent="0.25"/>
    <row r="151" s="244" customFormat="1" x14ac:dyDescent="0.25"/>
    <row r="152" s="244" customFormat="1" x14ac:dyDescent="0.25"/>
    <row r="153" s="244" customFormat="1" x14ac:dyDescent="0.25"/>
    <row r="154" s="244" customFormat="1" x14ac:dyDescent="0.25"/>
    <row r="155" s="244" customFormat="1" x14ac:dyDescent="0.25"/>
    <row r="156" s="244" customFormat="1" x14ac:dyDescent="0.25"/>
    <row r="157" s="244" customFormat="1" x14ac:dyDescent="0.25"/>
    <row r="158" s="244" customFormat="1" x14ac:dyDescent="0.25"/>
    <row r="159" s="244" customFormat="1" x14ac:dyDescent="0.25"/>
    <row r="160" s="244" customFormat="1" x14ac:dyDescent="0.25"/>
    <row r="161" s="244" customFormat="1" x14ac:dyDescent="0.25"/>
    <row r="162" s="244" customFormat="1" x14ac:dyDescent="0.25"/>
    <row r="163" s="244" customFormat="1" x14ac:dyDescent="0.25"/>
    <row r="164" s="244" customFormat="1" x14ac:dyDescent="0.25"/>
    <row r="165" s="244" customFormat="1" x14ac:dyDescent="0.25"/>
    <row r="166" s="244" customFormat="1" x14ac:dyDescent="0.25"/>
    <row r="167" s="244" customFormat="1" x14ac:dyDescent="0.25"/>
    <row r="168" s="244" customFormat="1" x14ac:dyDescent="0.25"/>
    <row r="169" s="244" customFormat="1" x14ac:dyDescent="0.25"/>
    <row r="170" s="244" customFormat="1" x14ac:dyDescent="0.25"/>
    <row r="171" s="244" customFormat="1" x14ac:dyDescent="0.25"/>
    <row r="172" s="244" customFormat="1" x14ac:dyDescent="0.25"/>
    <row r="173" s="244" customFormat="1" x14ac:dyDescent="0.25"/>
    <row r="174" s="244" customFormat="1" x14ac:dyDescent="0.25"/>
    <row r="175" s="244" customFormat="1" x14ac:dyDescent="0.25"/>
    <row r="176" s="244" customFormat="1" x14ac:dyDescent="0.25"/>
    <row r="177" s="244" customFormat="1" x14ac:dyDescent="0.25"/>
    <row r="178" s="244" customFormat="1" x14ac:dyDescent="0.25"/>
    <row r="179" s="244" customFormat="1" x14ac:dyDescent="0.25"/>
    <row r="180" s="244" customFormat="1" x14ac:dyDescent="0.25"/>
    <row r="181" s="244" customFormat="1" x14ac:dyDescent="0.25"/>
    <row r="182" s="244" customFormat="1" x14ac:dyDescent="0.25"/>
    <row r="183" s="244" customFormat="1" x14ac:dyDescent="0.25"/>
    <row r="184" s="244" customFormat="1" x14ac:dyDescent="0.25"/>
    <row r="185" s="244" customFormat="1" x14ac:dyDescent="0.25"/>
    <row r="186" s="244" customFormat="1" x14ac:dyDescent="0.25"/>
    <row r="187" s="244" customFormat="1" x14ac:dyDescent="0.25"/>
    <row r="188" s="244" customFormat="1" x14ac:dyDescent="0.25"/>
    <row r="189" s="244" customFormat="1" x14ac:dyDescent="0.25"/>
    <row r="190" s="244" customFormat="1" x14ac:dyDescent="0.25"/>
    <row r="191" s="244" customFormat="1" x14ac:dyDescent="0.25"/>
    <row r="192" s="244" customFormat="1" x14ac:dyDescent="0.25"/>
    <row r="193" s="244" customFormat="1" x14ac:dyDescent="0.25"/>
    <row r="194" s="244" customFormat="1" x14ac:dyDescent="0.25"/>
    <row r="195" s="244" customFormat="1" x14ac:dyDescent="0.25"/>
    <row r="196" s="244" customFormat="1" x14ac:dyDescent="0.25"/>
    <row r="197" s="244" customFormat="1" x14ac:dyDescent="0.25"/>
    <row r="198" s="244" customFormat="1" x14ac:dyDescent="0.25"/>
    <row r="199" s="244" customFormat="1" x14ac:dyDescent="0.25"/>
    <row r="200" s="244" customFormat="1" x14ac:dyDescent="0.25"/>
    <row r="201" s="244" customFormat="1" x14ac:dyDescent="0.25"/>
    <row r="202" s="244" customFormat="1" x14ac:dyDescent="0.25"/>
    <row r="203" s="244" customFormat="1" x14ac:dyDescent="0.25"/>
    <row r="204" s="244" customFormat="1" x14ac:dyDescent="0.25"/>
    <row r="205" s="244" customFormat="1" x14ac:dyDescent="0.25"/>
    <row r="206" s="244" customFormat="1" x14ac:dyDescent="0.25"/>
    <row r="207" s="244" customFormat="1" x14ac:dyDescent="0.25"/>
    <row r="208" s="244" customFormat="1" x14ac:dyDescent="0.25"/>
    <row r="209" s="244" customFormat="1" x14ac:dyDescent="0.25"/>
    <row r="210" s="244" customFormat="1" x14ac:dyDescent="0.25"/>
    <row r="211" s="244" customFormat="1" x14ac:dyDescent="0.25"/>
    <row r="212" s="244" customFormat="1" x14ac:dyDescent="0.25"/>
    <row r="213" s="244" customFormat="1" x14ac:dyDescent="0.25"/>
    <row r="214" s="244" customFormat="1" x14ac:dyDescent="0.25"/>
    <row r="215" s="244" customFormat="1" x14ac:dyDescent="0.25"/>
    <row r="216" s="244" customFormat="1" x14ac:dyDescent="0.25"/>
    <row r="217" s="244" customFormat="1" x14ac:dyDescent="0.25"/>
    <row r="218" s="244" customFormat="1" x14ac:dyDescent="0.25"/>
    <row r="219" s="244" customFormat="1" x14ac:dyDescent="0.25"/>
    <row r="220" s="244" customFormat="1" x14ac:dyDescent="0.25"/>
    <row r="221" s="244" customFormat="1" x14ac:dyDescent="0.25"/>
    <row r="222" s="244" customFormat="1" x14ac:dyDescent="0.25"/>
    <row r="223" s="244" customFormat="1" x14ac:dyDescent="0.25"/>
    <row r="224" s="244" customFormat="1" x14ac:dyDescent="0.25"/>
    <row r="225" s="244" customFormat="1" x14ac:dyDescent="0.25"/>
    <row r="226" s="244" customFormat="1" x14ac:dyDescent="0.25"/>
    <row r="227" s="244" customFormat="1" x14ac:dyDescent="0.25"/>
    <row r="228" s="244" customFormat="1" x14ac:dyDescent="0.25"/>
    <row r="229" s="244" customFormat="1" x14ac:dyDescent="0.25"/>
    <row r="230" s="244" customFormat="1" x14ac:dyDescent="0.25"/>
    <row r="231" s="244" customFormat="1" x14ac:dyDescent="0.25"/>
    <row r="232" s="244" customFormat="1" x14ac:dyDescent="0.25"/>
    <row r="233" s="244" customFormat="1" x14ac:dyDescent="0.25"/>
    <row r="234" s="244" customFormat="1" x14ac:dyDescent="0.25"/>
    <row r="235" s="244" customFormat="1" x14ac:dyDescent="0.25"/>
    <row r="236" s="244" customFormat="1" x14ac:dyDescent="0.25"/>
    <row r="237" s="244" customFormat="1" x14ac:dyDescent="0.25"/>
    <row r="238" s="244" customFormat="1" x14ac:dyDescent="0.25"/>
    <row r="239" s="244" customFormat="1" x14ac:dyDescent="0.25"/>
    <row r="240" s="244" customFormat="1" x14ac:dyDescent="0.25"/>
    <row r="241" s="244" customFormat="1" x14ac:dyDescent="0.25"/>
    <row r="242" s="244" customFormat="1" x14ac:dyDescent="0.25"/>
    <row r="243" s="244" customFormat="1" x14ac:dyDescent="0.25"/>
    <row r="244" s="244" customFormat="1" x14ac:dyDescent="0.25"/>
  </sheetData>
  <sheetProtection algorithmName="SHA-512" hashValue="cf66UmgXqxCKeaG3Yk/u91ljdpm9h6o+bGuFMSpQIaPKfAgFYDeRepw8gcY7koC2OWM2L1mmS3B5eNMMXe9fJA==" saltValue="E3gvU/QTvA4BZaynMBmu7w==" spinCount="100000" sheet="1" objects="1" scenarios="1"/>
  <hyperlinks>
    <hyperlink ref="K30" location="'Proceed to Results'!A1" display="Proceed to Results " xr:uid="{D64C681B-AAFA-4507-8B06-0E604293ADD6}"/>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FDF88-78B9-4608-8B24-B518F2EF064A}">
  <dimension ref="A1:S95"/>
  <sheetViews>
    <sheetView showGridLines="0" showRowColHeaders="0" tabSelected="1" workbookViewId="0">
      <selection activeCell="H6" sqref="H6"/>
    </sheetView>
  </sheetViews>
  <sheetFormatPr defaultRowHeight="15" x14ac:dyDescent="0.25"/>
  <cols>
    <col min="1" max="2" width="9.140625" style="252"/>
    <col min="3" max="3" width="17" style="252" customWidth="1"/>
    <col min="4" max="4" width="17" style="252" bestFit="1" customWidth="1"/>
    <col min="5" max="5" width="19.5703125" style="252" customWidth="1"/>
    <col min="6" max="10" width="9.140625" style="252"/>
    <col min="11" max="11" width="15.42578125" style="252" bestFit="1" customWidth="1"/>
    <col min="12" max="12" width="16.7109375" style="252" customWidth="1"/>
    <col min="13" max="16384" width="9.140625" style="252"/>
  </cols>
  <sheetData>
    <row r="1" spans="1:19" s="213" customFormat="1" ht="33.75" x14ac:dyDescent="0.5">
      <c r="D1" s="214" t="s">
        <v>263</v>
      </c>
      <c r="E1" s="215"/>
      <c r="F1" s="215"/>
      <c r="G1" s="215"/>
      <c r="H1" s="215"/>
      <c r="I1" s="215"/>
      <c r="J1" s="215"/>
      <c r="K1" s="215"/>
      <c r="L1" s="215"/>
      <c r="M1" s="215"/>
      <c r="N1" s="215"/>
      <c r="O1" s="215"/>
      <c r="P1" s="215"/>
      <c r="Q1" s="216"/>
      <c r="R1" s="216"/>
      <c r="S1" s="216"/>
    </row>
    <row r="2" spans="1:19" s="213" customFormat="1" ht="26.25" x14ac:dyDescent="0.25">
      <c r="A2" s="217"/>
    </row>
    <row r="3" spans="1:19" s="244" customFormat="1" ht="26.25" x14ac:dyDescent="0.4">
      <c r="B3" s="237" t="s">
        <v>226</v>
      </c>
      <c r="C3" s="256"/>
      <c r="D3" s="256"/>
      <c r="E3" s="256"/>
      <c r="F3" s="256"/>
      <c r="G3" s="256"/>
      <c r="H3" s="256"/>
      <c r="I3" s="256"/>
      <c r="J3" s="256"/>
      <c r="K3" s="256"/>
      <c r="L3" s="256"/>
      <c r="M3" s="256"/>
    </row>
    <row r="4" spans="1:19" s="244" customFormat="1" ht="21" x14ac:dyDescent="0.35">
      <c r="B4" s="256"/>
      <c r="C4" s="256"/>
      <c r="D4" s="256"/>
      <c r="E4" s="256"/>
      <c r="F4" s="256"/>
      <c r="G4" s="256"/>
      <c r="H4" s="256"/>
      <c r="I4" s="256"/>
      <c r="J4" s="256"/>
      <c r="K4" s="256"/>
      <c r="L4" s="256"/>
      <c r="M4" s="256"/>
    </row>
    <row r="5" spans="1:19" s="244" customFormat="1" ht="21" x14ac:dyDescent="0.35">
      <c r="B5" s="239" t="s">
        <v>202</v>
      </c>
      <c r="C5" s="239"/>
      <c r="D5" s="239"/>
      <c r="E5" s="239"/>
      <c r="F5" s="239"/>
      <c r="G5" s="239"/>
      <c r="H5" s="239"/>
      <c r="I5" s="239"/>
      <c r="J5" s="239"/>
      <c r="K5" s="239"/>
      <c r="L5" s="256"/>
      <c r="M5" s="256"/>
    </row>
    <row r="6" spans="1:19" s="244" customFormat="1" ht="21" x14ac:dyDescent="0.35">
      <c r="B6" s="239" t="s">
        <v>189</v>
      </c>
      <c r="C6" s="239"/>
      <c r="D6" s="239"/>
      <c r="E6" s="239"/>
      <c r="F6" s="239"/>
      <c r="G6" s="239"/>
      <c r="H6" s="239"/>
      <c r="I6" s="239"/>
      <c r="J6" s="239"/>
      <c r="K6" s="239"/>
      <c r="L6" s="256"/>
      <c r="M6" s="256"/>
    </row>
    <row r="7" spans="1:19" s="244" customFormat="1" ht="21" x14ac:dyDescent="0.35">
      <c r="B7" s="239" t="s">
        <v>190</v>
      </c>
      <c r="C7" s="239"/>
      <c r="D7" s="239"/>
      <c r="E7" s="239"/>
      <c r="F7" s="239"/>
      <c r="G7" s="239"/>
      <c r="H7" s="239"/>
      <c r="I7" s="239"/>
      <c r="J7" s="239"/>
      <c r="K7" s="239"/>
      <c r="L7" s="256"/>
      <c r="M7" s="256"/>
    </row>
    <row r="8" spans="1:19" s="244" customFormat="1" ht="21" x14ac:dyDescent="0.35">
      <c r="B8" s="239" t="s">
        <v>191</v>
      </c>
      <c r="C8" s="236"/>
      <c r="D8" s="236"/>
      <c r="E8" s="236"/>
      <c r="F8" s="236"/>
      <c r="G8" s="236"/>
      <c r="H8" s="236"/>
      <c r="I8" s="236"/>
      <c r="J8" s="236"/>
      <c r="K8" s="236"/>
    </row>
    <row r="9" spans="1:19" s="244" customFormat="1" ht="21" x14ac:dyDescent="0.35">
      <c r="B9" s="262" t="s">
        <v>227</v>
      </c>
    </row>
    <row r="10" spans="1:19" s="244" customFormat="1" ht="21" x14ac:dyDescent="0.35">
      <c r="B10" s="262" t="s">
        <v>228</v>
      </c>
    </row>
    <row r="11" spans="1:19" s="244" customFormat="1" ht="21" x14ac:dyDescent="0.35">
      <c r="B11" s="239" t="s">
        <v>192</v>
      </c>
      <c r="C11" s="236"/>
      <c r="D11" s="236"/>
      <c r="E11" s="236"/>
      <c r="F11" s="236"/>
      <c r="G11" s="236"/>
      <c r="H11" s="236"/>
      <c r="I11" s="236"/>
      <c r="J11" s="236"/>
      <c r="K11" s="236"/>
    </row>
    <row r="12" spans="1:19" s="244" customFormat="1" x14ac:dyDescent="0.25">
      <c r="B12" s="236"/>
      <c r="C12" s="236"/>
      <c r="D12" s="236"/>
      <c r="E12" s="236"/>
      <c r="F12" s="236"/>
      <c r="G12" s="236"/>
      <c r="H12" s="236"/>
      <c r="I12" s="236"/>
      <c r="J12" s="236"/>
      <c r="K12" s="236"/>
    </row>
    <row r="13" spans="1:19" s="244" customFormat="1" ht="21" x14ac:dyDescent="0.35">
      <c r="B13" s="239" t="s">
        <v>195</v>
      </c>
      <c r="C13" s="239"/>
      <c r="D13" s="239"/>
      <c r="E13" s="239"/>
      <c r="F13" s="239"/>
      <c r="G13" s="239"/>
      <c r="H13" s="239"/>
      <c r="I13" s="239"/>
      <c r="J13" s="239"/>
      <c r="K13" s="239"/>
      <c r="L13" s="256"/>
      <c r="M13" s="256"/>
      <c r="N13" s="256"/>
    </row>
    <row r="14" spans="1:19" s="244" customFormat="1" ht="21.75" thickBot="1" x14ac:dyDescent="0.4">
      <c r="B14" s="239"/>
      <c r="C14" s="239"/>
      <c r="D14" s="239"/>
      <c r="E14" s="239"/>
      <c r="F14" s="239"/>
      <c r="G14" s="239"/>
      <c r="H14" s="239"/>
      <c r="I14" s="239"/>
      <c r="J14" s="239"/>
      <c r="K14" s="239"/>
      <c r="L14" s="256"/>
      <c r="M14" s="256"/>
      <c r="N14" s="256"/>
    </row>
    <row r="15" spans="1:19" s="244" customFormat="1" ht="22.5" thickTop="1" thickBot="1" x14ac:dyDescent="0.4">
      <c r="B15" s="239" t="s">
        <v>221</v>
      </c>
      <c r="C15" s="239"/>
      <c r="D15" s="239"/>
      <c r="E15" s="229">
        <f>M36</f>
        <v>0</v>
      </c>
      <c r="F15" s="239"/>
      <c r="G15" s="239"/>
      <c r="H15" s="239" t="s">
        <v>222</v>
      </c>
      <c r="I15" s="239"/>
      <c r="J15" s="239"/>
      <c r="K15" s="239"/>
      <c r="L15" s="229">
        <f>E15/12</f>
        <v>0</v>
      </c>
      <c r="M15" s="256"/>
      <c r="N15" s="256"/>
    </row>
    <row r="16" spans="1:19" s="244" customFormat="1" ht="21.75" thickTop="1" x14ac:dyDescent="0.35">
      <c r="B16" s="239"/>
      <c r="C16" s="239"/>
      <c r="D16" s="239"/>
      <c r="E16" s="263"/>
      <c r="F16" s="239"/>
      <c r="G16" s="239"/>
      <c r="H16" s="239"/>
      <c r="I16" s="239"/>
      <c r="J16" s="239"/>
      <c r="K16" s="239"/>
      <c r="L16" s="256"/>
      <c r="M16" s="256"/>
      <c r="N16" s="256"/>
    </row>
    <row r="17" spans="1:14" s="244" customFormat="1" ht="21" x14ac:dyDescent="0.35">
      <c r="B17" s="239"/>
      <c r="C17" s="239"/>
      <c r="D17" s="239"/>
      <c r="E17" s="239"/>
      <c r="F17" s="239"/>
      <c r="G17" s="239"/>
      <c r="H17" s="239"/>
      <c r="I17" s="239"/>
      <c r="J17" s="239"/>
      <c r="K17" s="239"/>
      <c r="L17" s="256"/>
      <c r="M17" s="256"/>
      <c r="N17" s="256"/>
    </row>
    <row r="18" spans="1:14" s="244" customFormat="1" x14ac:dyDescent="0.25">
      <c r="B18" s="236"/>
      <c r="C18" s="236"/>
      <c r="D18" s="236"/>
      <c r="E18" s="236"/>
      <c r="F18" s="236"/>
      <c r="G18" s="236"/>
      <c r="H18" s="236"/>
      <c r="I18" s="236"/>
      <c r="J18" s="236"/>
      <c r="K18" s="236"/>
    </row>
    <row r="19" spans="1:14" s="244" customFormat="1" ht="21" x14ac:dyDescent="0.35">
      <c r="B19" s="239" t="s">
        <v>196</v>
      </c>
      <c r="C19" s="239"/>
      <c r="D19" s="239"/>
      <c r="E19" s="239"/>
      <c r="F19" s="239"/>
      <c r="G19" s="236"/>
      <c r="H19" s="236"/>
      <c r="I19" s="236"/>
      <c r="J19" s="236"/>
      <c r="K19" s="236"/>
    </row>
    <row r="20" spans="1:14" s="244" customFormat="1" ht="21.75" thickBot="1" x14ac:dyDescent="0.4">
      <c r="B20" s="239"/>
      <c r="C20" s="239"/>
      <c r="D20" s="239"/>
      <c r="E20" s="239"/>
      <c r="F20" s="239"/>
      <c r="G20" s="236"/>
      <c r="H20" s="236"/>
      <c r="I20" s="236"/>
      <c r="J20" s="236"/>
      <c r="K20" s="236"/>
    </row>
    <row r="21" spans="1:14" s="244" customFormat="1" ht="22.5" thickTop="1" thickBot="1" x14ac:dyDescent="0.4">
      <c r="B21" s="239" t="s">
        <v>221</v>
      </c>
      <c r="C21" s="239"/>
      <c r="D21" s="239"/>
      <c r="E21" s="229">
        <f>M45</f>
        <v>0</v>
      </c>
      <c r="F21" s="239"/>
      <c r="G21" s="236"/>
      <c r="H21" s="239" t="s">
        <v>222</v>
      </c>
      <c r="I21" s="236"/>
      <c r="J21" s="236"/>
      <c r="K21" s="236"/>
      <c r="L21" s="229">
        <f>E21/12</f>
        <v>0</v>
      </c>
    </row>
    <row r="22" spans="1:14" s="244" customFormat="1" ht="22.5" thickTop="1" thickBot="1" x14ac:dyDescent="0.4">
      <c r="B22" s="239"/>
      <c r="C22" s="239"/>
      <c r="D22" s="239"/>
      <c r="E22" s="263"/>
      <c r="F22" s="239"/>
      <c r="G22" s="236"/>
      <c r="H22" s="236"/>
      <c r="I22" s="236"/>
      <c r="J22" s="236"/>
      <c r="K22" s="236"/>
    </row>
    <row r="23" spans="1:14" s="244" customFormat="1" ht="22.5" thickTop="1" thickBot="1" x14ac:dyDescent="0.4">
      <c r="B23" s="239" t="s">
        <v>194</v>
      </c>
      <c r="C23" s="239"/>
      <c r="D23" s="239"/>
      <c r="E23" s="229">
        <f>M47</f>
        <v>0</v>
      </c>
      <c r="F23" s="239"/>
      <c r="G23" s="236"/>
      <c r="H23" s="236"/>
      <c r="I23" s="236"/>
      <c r="J23" s="236"/>
      <c r="K23" s="236"/>
    </row>
    <row r="24" spans="1:14" s="244" customFormat="1" ht="21.75" thickTop="1" x14ac:dyDescent="0.35">
      <c r="B24" s="239"/>
      <c r="C24" s="239"/>
      <c r="D24" s="239"/>
      <c r="E24" s="239"/>
      <c r="F24" s="239"/>
      <c r="G24" s="236"/>
      <c r="H24" s="236"/>
      <c r="I24" s="236"/>
      <c r="K24" s="236"/>
    </row>
    <row r="25" spans="1:14" s="244" customFormat="1" ht="23.25" x14ac:dyDescent="0.35">
      <c r="H25" s="264" t="s">
        <v>201</v>
      </c>
      <c r="I25" s="265"/>
      <c r="J25" s="253"/>
    </row>
    <row r="26" spans="1:14" s="254" customFormat="1" x14ac:dyDescent="0.25"/>
    <row r="27" spans="1:14" s="254" customFormat="1" x14ac:dyDescent="0.25"/>
    <row r="28" spans="1:14" s="254" customFormat="1" x14ac:dyDescent="0.25"/>
    <row r="29" spans="1:14" s="254" customFormat="1" x14ac:dyDescent="0.25"/>
    <row r="30" spans="1:14" s="254" customFormat="1" x14ac:dyDescent="0.25"/>
    <row r="31" spans="1:14" s="254" customFormat="1" x14ac:dyDescent="0.25">
      <c r="A31" s="254" t="s">
        <v>99</v>
      </c>
    </row>
    <row r="32" spans="1:14" s="254" customFormat="1" x14ac:dyDescent="0.25"/>
    <row r="33" spans="1:13" s="254" customFormat="1" x14ac:dyDescent="0.25">
      <c r="A33" s="254" t="s">
        <v>100</v>
      </c>
    </row>
    <row r="34" spans="1:13" s="254" customFormat="1" x14ac:dyDescent="0.25">
      <c r="B34" s="254" t="s">
        <v>101</v>
      </c>
      <c r="F34" s="254" t="s">
        <v>102</v>
      </c>
      <c r="K34" s="254" t="s">
        <v>103</v>
      </c>
    </row>
    <row r="35" spans="1:13" s="254" customFormat="1" x14ac:dyDescent="0.25"/>
    <row r="36" spans="1:13" s="254" customFormat="1" x14ac:dyDescent="0.25">
      <c r="B36" s="254" t="s">
        <v>104</v>
      </c>
      <c r="D36" s="254">
        <f>'1995-2015 Calculator (67)'!E41</f>
        <v>0</v>
      </c>
      <c r="F36" s="254" t="s">
        <v>104</v>
      </c>
      <c r="H36" s="254">
        <f>Sheet2!AA38</f>
        <v>0</v>
      </c>
      <c r="K36" s="254" t="s">
        <v>104</v>
      </c>
      <c r="M36" s="254">
        <f>D36+H36</f>
        <v>0</v>
      </c>
    </row>
    <row r="37" spans="1:13" s="254" customFormat="1" x14ac:dyDescent="0.25"/>
    <row r="38" spans="1:13" s="254" customFormat="1" x14ac:dyDescent="0.25">
      <c r="B38" s="254" t="s">
        <v>105</v>
      </c>
      <c r="D38" s="254">
        <f>Sheet2!D49</f>
        <v>0</v>
      </c>
      <c r="K38" s="254" t="s">
        <v>105</v>
      </c>
      <c r="M38" s="254">
        <f>D38</f>
        <v>0</v>
      </c>
    </row>
    <row r="39" spans="1:13" s="254" customFormat="1" x14ac:dyDescent="0.25"/>
    <row r="40" spans="1:13" s="254" customFormat="1" x14ac:dyDescent="0.25"/>
    <row r="41" spans="1:13" s="254" customFormat="1" x14ac:dyDescent="0.25">
      <c r="A41" s="254" t="s">
        <v>107</v>
      </c>
    </row>
    <row r="42" spans="1:13" s="254" customFormat="1" x14ac:dyDescent="0.25"/>
    <row r="43" spans="1:13" s="254" customFormat="1" x14ac:dyDescent="0.25">
      <c r="B43" s="254" t="s">
        <v>101</v>
      </c>
      <c r="F43" s="254" t="s">
        <v>102</v>
      </c>
      <c r="K43" s="254" t="s">
        <v>103</v>
      </c>
    </row>
    <row r="44" spans="1:13" s="254" customFormat="1" x14ac:dyDescent="0.25"/>
    <row r="45" spans="1:13" s="254" customFormat="1" x14ac:dyDescent="0.25">
      <c r="B45" s="254" t="s">
        <v>104</v>
      </c>
      <c r="D45" s="254">
        <f>Sheet2!D56</f>
        <v>0</v>
      </c>
      <c r="F45" s="254" t="s">
        <v>104</v>
      </c>
      <c r="H45" s="254">
        <f>Sheet2!H56</f>
        <v>0</v>
      </c>
      <c r="K45" s="254" t="s">
        <v>104</v>
      </c>
      <c r="M45" s="254">
        <f>D45+H45</f>
        <v>0</v>
      </c>
    </row>
    <row r="46" spans="1:13" s="254" customFormat="1" x14ac:dyDescent="0.25"/>
    <row r="47" spans="1:13" s="254" customFormat="1" x14ac:dyDescent="0.25">
      <c r="B47" s="254" t="s">
        <v>105</v>
      </c>
      <c r="D47" s="254">
        <f>Sheet2!D58</f>
        <v>0</v>
      </c>
      <c r="F47" s="254" t="s">
        <v>105</v>
      </c>
      <c r="H47" s="254">
        <f>Sheet2!H58</f>
        <v>0</v>
      </c>
      <c r="K47" s="254" t="s">
        <v>105</v>
      </c>
      <c r="M47" s="254">
        <f>D47+H47</f>
        <v>0</v>
      </c>
    </row>
    <row r="48" spans="1:13" s="254" customFormat="1" x14ac:dyDescent="0.25"/>
    <row r="49" spans="1:13" s="254" customFormat="1" x14ac:dyDescent="0.25"/>
    <row r="50" spans="1:13" s="254" customFormat="1" x14ac:dyDescent="0.25"/>
    <row r="51" spans="1:13" s="254" customFormat="1" x14ac:dyDescent="0.25">
      <c r="A51" s="254" t="s">
        <v>108</v>
      </c>
    </row>
    <row r="52" spans="1:13" s="254" customFormat="1" x14ac:dyDescent="0.25"/>
    <row r="53" spans="1:13" s="254" customFormat="1" x14ac:dyDescent="0.25">
      <c r="A53" s="254" t="s">
        <v>109</v>
      </c>
    </row>
    <row r="54" spans="1:13" s="254" customFormat="1" x14ac:dyDescent="0.25">
      <c r="A54" s="254" t="s">
        <v>110</v>
      </c>
    </row>
    <row r="55" spans="1:13" s="254" customFormat="1" x14ac:dyDescent="0.25"/>
    <row r="56" spans="1:13" s="254" customFormat="1" x14ac:dyDescent="0.25"/>
    <row r="57" spans="1:13" s="254" customFormat="1" x14ac:dyDescent="0.25">
      <c r="B57" s="254" t="s">
        <v>171</v>
      </c>
      <c r="F57" s="254" t="s">
        <v>101</v>
      </c>
      <c r="H57" s="254" t="s">
        <v>102</v>
      </c>
    </row>
    <row r="58" spans="1:13" s="254" customFormat="1" x14ac:dyDescent="0.25">
      <c r="F58" s="254">
        <v>24000</v>
      </c>
      <c r="H58" s="254">
        <v>600</v>
      </c>
    </row>
    <row r="59" spans="1:13" s="254" customFormat="1" x14ac:dyDescent="0.25">
      <c r="F59" s="254" t="str">
        <f>IF(F58&gt;U35*12,"Exceeds Maximum",".")</f>
        <v>Exceeds Maximum</v>
      </c>
      <c r="H59" s="254" t="str">
        <f>IF(H58&gt;U18,"Exceeds Maximum",".")</f>
        <v>Exceeds Maximum</v>
      </c>
    </row>
    <row r="60" spans="1:13" s="254" customFormat="1" x14ac:dyDescent="0.25"/>
    <row r="61" spans="1:13" s="254" customFormat="1" x14ac:dyDescent="0.25">
      <c r="B61" s="254" t="s">
        <v>101</v>
      </c>
      <c r="F61" s="254" t="s">
        <v>102</v>
      </c>
      <c r="K61" s="254" t="s">
        <v>103</v>
      </c>
    </row>
    <row r="62" spans="1:13" s="254" customFormat="1" x14ac:dyDescent="0.25"/>
    <row r="63" spans="1:13" s="254" customFormat="1" x14ac:dyDescent="0.25">
      <c r="B63" s="254" t="s">
        <v>104</v>
      </c>
      <c r="D63" s="254" t="str">
        <f>IF(F59=".",D36-U31,"Invalid")</f>
        <v>Invalid</v>
      </c>
      <c r="F63" s="254" t="s">
        <v>104</v>
      </c>
      <c r="H63" s="254" t="str">
        <f>IF(F59=".",H36-U32,"Invalid")</f>
        <v>Invalid</v>
      </c>
      <c r="K63" s="254" t="s">
        <v>104</v>
      </c>
      <c r="M63" s="254" t="e">
        <f>D63+H63</f>
        <v>#VALUE!</v>
      </c>
    </row>
    <row r="64" spans="1:13" s="254" customFormat="1" x14ac:dyDescent="0.25"/>
    <row r="65" spans="1:17" s="254" customFormat="1" x14ac:dyDescent="0.25">
      <c r="B65" s="254" t="s">
        <v>105</v>
      </c>
      <c r="D65" s="254" t="str">
        <f>IF(F59=".",D38+(U31*12),"Invalid")</f>
        <v>Invalid</v>
      </c>
      <c r="F65" s="254" t="s">
        <v>105</v>
      </c>
      <c r="H65" s="254" t="str">
        <f>IF(H59=".",H58,"Invalid")</f>
        <v>Invalid</v>
      </c>
      <c r="K65" s="254" t="s">
        <v>105</v>
      </c>
      <c r="M65" s="254" t="e">
        <f>D65+H65</f>
        <v>#VALUE!</v>
      </c>
    </row>
    <row r="66" spans="1:17" s="254" customFormat="1" x14ac:dyDescent="0.25"/>
    <row r="67" spans="1:17" s="254" customFormat="1" x14ac:dyDescent="0.25"/>
    <row r="68" spans="1:17" s="254" customFormat="1" x14ac:dyDescent="0.25"/>
    <row r="69" spans="1:17" s="254" customFormat="1" x14ac:dyDescent="0.25"/>
    <row r="70" spans="1:17" s="254" customFormat="1" x14ac:dyDescent="0.25"/>
    <row r="71" spans="1:17" s="254" customFormat="1" x14ac:dyDescent="0.25"/>
    <row r="72" spans="1:17" s="254" customFormat="1" x14ac:dyDescent="0.25"/>
    <row r="73" spans="1:17" s="254" customFormat="1" x14ac:dyDescent="0.25"/>
    <row r="74" spans="1:17" s="244" customFormat="1" x14ac:dyDescent="0.25">
      <c r="A74" s="218"/>
      <c r="B74" s="218"/>
      <c r="C74" s="218"/>
      <c r="D74" s="218"/>
      <c r="E74" s="218"/>
      <c r="F74" s="218"/>
      <c r="G74" s="218"/>
      <c r="H74" s="218"/>
      <c r="I74" s="218"/>
      <c r="J74" s="218"/>
      <c r="K74" s="218"/>
      <c r="L74" s="218"/>
      <c r="M74" s="218"/>
      <c r="N74" s="218"/>
      <c r="O74" s="218"/>
      <c r="P74" s="218"/>
      <c r="Q74" s="218"/>
    </row>
    <row r="75" spans="1:17" s="244" customFormat="1" x14ac:dyDescent="0.25">
      <c r="A75" s="218"/>
      <c r="B75" s="218"/>
      <c r="C75" s="218"/>
      <c r="D75" s="218"/>
      <c r="E75" s="218"/>
      <c r="F75" s="218"/>
      <c r="G75" s="218"/>
      <c r="H75" s="218"/>
      <c r="I75" s="218"/>
      <c r="J75" s="218"/>
      <c r="K75" s="218"/>
      <c r="L75" s="218"/>
      <c r="M75" s="218"/>
      <c r="N75" s="218"/>
      <c r="O75" s="218"/>
      <c r="P75" s="218"/>
      <c r="Q75" s="218"/>
    </row>
    <row r="76" spans="1:17" s="244" customFormat="1" x14ac:dyDescent="0.25">
      <c r="A76" s="218"/>
      <c r="B76" s="218"/>
      <c r="C76" s="218"/>
      <c r="D76" s="218"/>
      <c r="E76" s="218"/>
      <c r="F76" s="218"/>
      <c r="G76" s="218"/>
      <c r="H76" s="218"/>
      <c r="I76" s="218"/>
      <c r="J76" s="218"/>
      <c r="K76" s="218"/>
      <c r="L76" s="218"/>
      <c r="M76" s="218"/>
      <c r="N76" s="218"/>
      <c r="O76" s="218"/>
      <c r="P76" s="218"/>
      <c r="Q76" s="218"/>
    </row>
    <row r="77" spans="1:17" s="244" customFormat="1" x14ac:dyDescent="0.25">
      <c r="A77" s="218"/>
      <c r="B77" s="218"/>
      <c r="C77" s="218"/>
      <c r="D77" s="218"/>
      <c r="E77" s="218"/>
      <c r="F77" s="218"/>
      <c r="G77" s="218"/>
      <c r="H77" s="218"/>
      <c r="I77" s="218"/>
      <c r="J77" s="218"/>
      <c r="K77" s="218"/>
      <c r="L77" s="218"/>
      <c r="M77" s="218"/>
      <c r="N77" s="218"/>
      <c r="O77" s="218"/>
      <c r="P77" s="218"/>
      <c r="Q77" s="218"/>
    </row>
    <row r="78" spans="1:17" s="244" customFormat="1" x14ac:dyDescent="0.25">
      <c r="A78" s="218"/>
      <c r="B78" s="218"/>
      <c r="C78" s="218"/>
      <c r="D78" s="218"/>
      <c r="E78" s="218"/>
      <c r="F78" s="218"/>
      <c r="G78" s="218"/>
      <c r="H78" s="218"/>
      <c r="I78" s="218"/>
      <c r="J78" s="218"/>
      <c r="K78" s="218"/>
      <c r="L78" s="218"/>
      <c r="M78" s="218"/>
      <c r="N78" s="218"/>
      <c r="O78" s="218"/>
      <c r="P78" s="218"/>
      <c r="Q78" s="218"/>
    </row>
    <row r="79" spans="1:17" s="244" customFormat="1" x14ac:dyDescent="0.25">
      <c r="A79" s="218"/>
      <c r="B79" s="218"/>
      <c r="C79" s="218"/>
      <c r="D79" s="218"/>
      <c r="E79" s="218"/>
      <c r="F79" s="218"/>
      <c r="G79" s="218"/>
      <c r="H79" s="218"/>
      <c r="I79" s="218"/>
      <c r="J79" s="218"/>
      <c r="K79" s="218"/>
      <c r="L79" s="218"/>
      <c r="M79" s="218"/>
      <c r="N79" s="218"/>
      <c r="O79" s="218"/>
      <c r="P79" s="218"/>
      <c r="Q79" s="218"/>
    </row>
    <row r="80" spans="1:17" s="244" customFormat="1" x14ac:dyDescent="0.25">
      <c r="A80" s="218"/>
      <c r="B80" s="218"/>
      <c r="C80" s="218"/>
      <c r="D80" s="218"/>
      <c r="E80" s="218"/>
      <c r="F80" s="218"/>
      <c r="G80" s="218"/>
      <c r="H80" s="218"/>
      <c r="I80" s="218"/>
      <c r="J80" s="218"/>
      <c r="K80" s="218"/>
      <c r="L80" s="218"/>
      <c r="M80" s="218"/>
      <c r="N80" s="218"/>
      <c r="O80" s="218"/>
      <c r="P80" s="218"/>
      <c r="Q80" s="218"/>
    </row>
    <row r="81" spans="1:17" s="244" customFormat="1" x14ac:dyDescent="0.25">
      <c r="A81" s="218"/>
      <c r="B81" s="218"/>
      <c r="C81" s="218"/>
      <c r="D81" s="218"/>
      <c r="E81" s="218"/>
      <c r="F81" s="218"/>
      <c r="G81" s="218"/>
      <c r="H81" s="218"/>
      <c r="I81" s="218"/>
      <c r="J81" s="218"/>
      <c r="K81" s="218"/>
      <c r="L81" s="218"/>
      <c r="M81" s="218"/>
      <c r="N81" s="218"/>
      <c r="O81" s="218"/>
      <c r="P81" s="218"/>
      <c r="Q81" s="218"/>
    </row>
    <row r="82" spans="1:17" s="244" customFormat="1" x14ac:dyDescent="0.25">
      <c r="A82" s="218"/>
      <c r="B82" s="218"/>
      <c r="C82" s="218"/>
      <c r="D82" s="218"/>
      <c r="E82" s="218"/>
      <c r="F82" s="218"/>
      <c r="G82" s="218"/>
      <c r="H82" s="218"/>
      <c r="I82" s="218"/>
      <c r="J82" s="218"/>
      <c r="K82" s="218"/>
      <c r="L82" s="218"/>
      <c r="M82" s="218"/>
      <c r="N82" s="218"/>
      <c r="O82" s="218"/>
      <c r="P82" s="218"/>
      <c r="Q82" s="218"/>
    </row>
    <row r="83" spans="1:17" s="244" customFormat="1" x14ac:dyDescent="0.25">
      <c r="A83" s="218"/>
      <c r="B83" s="218"/>
      <c r="C83" s="218"/>
      <c r="D83" s="218"/>
      <c r="E83" s="218"/>
      <c r="F83" s="218"/>
      <c r="G83" s="218"/>
      <c r="H83" s="218"/>
      <c r="I83" s="218"/>
      <c r="J83" s="218"/>
      <c r="K83" s="218"/>
      <c r="L83" s="218"/>
      <c r="M83" s="218"/>
      <c r="N83" s="218"/>
      <c r="O83" s="218"/>
      <c r="P83" s="218"/>
      <c r="Q83" s="218"/>
    </row>
    <row r="84" spans="1:17" s="244" customFormat="1" x14ac:dyDescent="0.25">
      <c r="A84" s="218"/>
      <c r="B84" s="218"/>
      <c r="C84" s="218"/>
      <c r="D84" s="218"/>
      <c r="E84" s="218"/>
      <c r="F84" s="218"/>
      <c r="G84" s="218"/>
      <c r="H84" s="218"/>
      <c r="I84" s="218"/>
      <c r="J84" s="218"/>
      <c r="K84" s="218"/>
      <c r="L84" s="218"/>
      <c r="M84" s="218"/>
      <c r="N84" s="218"/>
      <c r="O84" s="218"/>
      <c r="P84" s="218"/>
      <c r="Q84" s="218"/>
    </row>
    <row r="85" spans="1:17" s="244" customFormat="1" x14ac:dyDescent="0.25">
      <c r="A85" s="218"/>
      <c r="B85" s="218"/>
      <c r="C85" s="218"/>
      <c r="D85" s="218"/>
      <c r="E85" s="218"/>
      <c r="F85" s="218"/>
      <c r="G85" s="218"/>
      <c r="H85" s="218"/>
      <c r="I85" s="218"/>
      <c r="J85" s="218"/>
      <c r="K85" s="218"/>
      <c r="L85" s="218"/>
      <c r="M85" s="218"/>
      <c r="N85" s="218"/>
      <c r="O85" s="218"/>
      <c r="P85" s="218"/>
      <c r="Q85" s="218"/>
    </row>
    <row r="86" spans="1:17" s="244" customFormat="1" x14ac:dyDescent="0.25">
      <c r="A86" s="218"/>
      <c r="B86" s="218"/>
      <c r="C86" s="218"/>
      <c r="D86" s="218"/>
      <c r="E86" s="218"/>
      <c r="F86" s="218"/>
      <c r="G86" s="218"/>
      <c r="H86" s="218"/>
      <c r="I86" s="218"/>
      <c r="J86" s="218"/>
      <c r="K86" s="218"/>
      <c r="L86" s="218"/>
      <c r="M86" s="218"/>
      <c r="N86" s="218"/>
      <c r="O86" s="218"/>
      <c r="P86" s="218"/>
      <c r="Q86" s="218"/>
    </row>
    <row r="87" spans="1:17" s="244" customFormat="1" x14ac:dyDescent="0.25">
      <c r="A87" s="218"/>
      <c r="B87" s="218"/>
      <c r="C87" s="218"/>
      <c r="D87" s="218"/>
      <c r="E87" s="218"/>
      <c r="F87" s="218"/>
      <c r="G87" s="218"/>
      <c r="H87" s="218"/>
      <c r="I87" s="218"/>
      <c r="J87" s="218"/>
      <c r="K87" s="218"/>
      <c r="L87" s="218"/>
      <c r="M87" s="218"/>
      <c r="N87" s="218"/>
      <c r="O87" s="218"/>
      <c r="P87" s="218"/>
      <c r="Q87" s="218"/>
    </row>
    <row r="88" spans="1:17" s="244" customFormat="1" x14ac:dyDescent="0.25">
      <c r="A88" s="218"/>
      <c r="B88" s="218"/>
      <c r="C88" s="218"/>
      <c r="D88" s="218"/>
      <c r="E88" s="218"/>
      <c r="F88" s="218"/>
      <c r="G88" s="218"/>
      <c r="H88" s="218"/>
      <c r="I88" s="218"/>
      <c r="J88" s="218"/>
      <c r="K88" s="218"/>
      <c r="L88" s="218"/>
      <c r="M88" s="218"/>
      <c r="N88" s="218"/>
      <c r="O88" s="218"/>
      <c r="P88" s="218"/>
      <c r="Q88" s="218"/>
    </row>
    <row r="89" spans="1:17" s="244" customFormat="1" x14ac:dyDescent="0.25">
      <c r="A89" s="218"/>
      <c r="B89" s="218"/>
      <c r="C89" s="218"/>
      <c r="D89" s="218"/>
      <c r="E89" s="218"/>
      <c r="F89" s="218"/>
      <c r="G89" s="218"/>
      <c r="H89" s="218"/>
      <c r="I89" s="218"/>
      <c r="J89" s="218"/>
      <c r="K89" s="218"/>
      <c r="L89" s="218"/>
      <c r="M89" s="218"/>
      <c r="N89" s="218"/>
      <c r="O89" s="218"/>
      <c r="P89" s="218"/>
      <c r="Q89" s="218"/>
    </row>
    <row r="90" spans="1:17" s="244" customFormat="1" x14ac:dyDescent="0.25"/>
    <row r="91" spans="1:17" s="244" customFormat="1" x14ac:dyDescent="0.25"/>
    <row r="92" spans="1:17" s="244" customFormat="1" x14ac:dyDescent="0.25"/>
    <row r="93" spans="1:17" s="244" customFormat="1" x14ac:dyDescent="0.25"/>
    <row r="94" spans="1:17" s="244" customFormat="1" x14ac:dyDescent="0.25"/>
    <row r="95" spans="1:17" s="244" customFormat="1" x14ac:dyDescent="0.25"/>
  </sheetData>
  <sheetProtection algorithmName="SHA-512" hashValue="Y5kLPn+T+7vAIpUUSE1X5oD8s1NUAc7bgiHVX26LUwqRhWfcimTYH4f6UTtrGZ4WELDTkzabgBX1qJf0Sg4S4Q==" saltValue="OfIw7+idAr99eqg8SYayGQ==" spinCount="100000" sheet="1" objects="1" scenarios="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FEAD4-E8C8-42E2-ADC9-0E2203AE58BE}">
  <dimension ref="A1"/>
  <sheetViews>
    <sheetView workbookViewId="0"/>
  </sheetViews>
  <sheetFormatPr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38"/>
  <sheetViews>
    <sheetView showRowColHeaders="0" topLeftCell="A10" workbookViewId="0">
      <selection activeCell="B32" sqref="B32"/>
    </sheetView>
  </sheetViews>
  <sheetFormatPr defaultRowHeight="15" x14ac:dyDescent="0.25"/>
  <cols>
    <col min="1" max="1" width="9.140625" style="31"/>
    <col min="2" max="2" width="198.42578125" style="156" customWidth="1"/>
    <col min="3" max="16384" width="9.140625" style="31"/>
  </cols>
  <sheetData>
    <row r="1" spans="2:2" ht="21" x14ac:dyDescent="0.35">
      <c r="B1" s="159" t="s">
        <v>138</v>
      </c>
    </row>
    <row r="3" spans="2:2" ht="18.75" x14ac:dyDescent="0.3">
      <c r="B3" s="158" t="s">
        <v>137</v>
      </c>
    </row>
    <row r="4" spans="2:2" x14ac:dyDescent="0.25">
      <c r="B4" s="156" t="s">
        <v>136</v>
      </c>
    </row>
    <row r="5" spans="2:2" x14ac:dyDescent="0.25">
      <c r="B5" s="156" t="s">
        <v>135</v>
      </c>
    </row>
    <row r="6" spans="2:2" ht="30" x14ac:dyDescent="0.25">
      <c r="B6" s="156" t="s">
        <v>134</v>
      </c>
    </row>
    <row r="8" spans="2:2" ht="30" x14ac:dyDescent="0.25">
      <c r="B8" s="156" t="s">
        <v>133</v>
      </c>
    </row>
    <row r="9" spans="2:2" x14ac:dyDescent="0.25">
      <c r="B9" s="156" t="s">
        <v>132</v>
      </c>
    </row>
    <row r="11" spans="2:2" x14ac:dyDescent="0.25">
      <c r="B11" s="156" t="s">
        <v>131</v>
      </c>
    </row>
    <row r="12" spans="2:2" ht="45" x14ac:dyDescent="0.25">
      <c r="B12" s="156" t="s">
        <v>130</v>
      </c>
    </row>
    <row r="13" spans="2:2" x14ac:dyDescent="0.25">
      <c r="B13" s="156" t="s">
        <v>129</v>
      </c>
    </row>
    <row r="15" spans="2:2" ht="30" x14ac:dyDescent="0.25">
      <c r="B15" s="156" t="s">
        <v>128</v>
      </c>
    </row>
    <row r="16" spans="2:2" x14ac:dyDescent="0.25">
      <c r="B16" s="156" t="s">
        <v>127</v>
      </c>
    </row>
    <row r="18" spans="2:2" ht="30" x14ac:dyDescent="0.25">
      <c r="B18" s="156" t="s">
        <v>126</v>
      </c>
    </row>
    <row r="19" spans="2:2" x14ac:dyDescent="0.25">
      <c r="B19" s="156" t="s">
        <v>125</v>
      </c>
    </row>
    <row r="21" spans="2:2" ht="18.75" x14ac:dyDescent="0.3">
      <c r="B21" s="158" t="s">
        <v>124</v>
      </c>
    </row>
    <row r="23" spans="2:2" x14ac:dyDescent="0.25">
      <c r="B23" s="156" t="s">
        <v>123</v>
      </c>
    </row>
    <row r="24" spans="2:2" x14ac:dyDescent="0.25">
      <c r="B24" s="156" t="s">
        <v>140</v>
      </c>
    </row>
    <row r="25" spans="2:2" x14ac:dyDescent="0.25">
      <c r="B25" s="156" t="s">
        <v>122</v>
      </c>
    </row>
    <row r="26" spans="2:2" ht="30" x14ac:dyDescent="0.25">
      <c r="B26" s="156" t="s">
        <v>121</v>
      </c>
    </row>
    <row r="27" spans="2:2" x14ac:dyDescent="0.25">
      <c r="B27" s="156" t="s">
        <v>120</v>
      </c>
    </row>
    <row r="28" spans="2:2" x14ac:dyDescent="0.25">
      <c r="B28" s="156" t="s">
        <v>119</v>
      </c>
    </row>
    <row r="29" spans="2:2" ht="30" x14ac:dyDescent="0.25">
      <c r="B29" s="156" t="s">
        <v>118</v>
      </c>
    </row>
    <row r="30" spans="2:2" x14ac:dyDescent="0.25">
      <c r="B30" s="195" t="s">
        <v>143</v>
      </c>
    </row>
    <row r="31" spans="2:2" x14ac:dyDescent="0.25">
      <c r="B31" s="195" t="s">
        <v>141</v>
      </c>
    </row>
    <row r="32" spans="2:2" x14ac:dyDescent="0.25">
      <c r="B32" s="194"/>
    </row>
    <row r="33" spans="2:2" ht="18.75" x14ac:dyDescent="0.3">
      <c r="B33" s="158" t="s">
        <v>117</v>
      </c>
    </row>
    <row r="34" spans="2:2" x14ac:dyDescent="0.25">
      <c r="B34" s="157"/>
    </row>
    <row r="35" spans="2:2" x14ac:dyDescent="0.25">
      <c r="B35" s="156" t="s">
        <v>116</v>
      </c>
    </row>
    <row r="36" spans="2:2" x14ac:dyDescent="0.25">
      <c r="B36" s="156" t="s">
        <v>115</v>
      </c>
    </row>
    <row r="37" spans="2:2" x14ac:dyDescent="0.25">
      <c r="B37" s="156" t="s">
        <v>114</v>
      </c>
    </row>
    <row r="38" spans="2:2" x14ac:dyDescent="0.25">
      <c r="B38" s="156" t="s">
        <v>113</v>
      </c>
    </row>
  </sheetData>
  <sheetProtection password="A1B2" sheet="1" objects="1" scenarios="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C2480-C310-4323-BB58-465A249E4146}">
  <dimension ref="A2:K19"/>
  <sheetViews>
    <sheetView workbookViewId="0">
      <selection activeCell="E2" sqref="E2"/>
    </sheetView>
  </sheetViews>
  <sheetFormatPr defaultRowHeight="15" x14ac:dyDescent="0.25"/>
  <cols>
    <col min="4" max="4" width="20" customWidth="1"/>
    <col min="5" max="5" width="17" customWidth="1"/>
  </cols>
  <sheetData>
    <row r="2" spans="1:11" ht="21" x14ac:dyDescent="0.35">
      <c r="A2" s="206" t="s">
        <v>203</v>
      </c>
      <c r="B2" s="206"/>
      <c r="C2" s="206"/>
      <c r="D2" s="206"/>
      <c r="E2" s="206">
        <f>'Age at Retirement'!M18</f>
        <v>67</v>
      </c>
      <c r="F2" s="206">
        <f>'Age at Retirement'!N18</f>
        <v>0</v>
      </c>
      <c r="G2" s="206" t="s">
        <v>204</v>
      </c>
      <c r="H2" s="206"/>
    </row>
    <row r="6" spans="1:11" ht="21" x14ac:dyDescent="0.35">
      <c r="A6" s="210" t="s">
        <v>192</v>
      </c>
      <c r="B6" s="209"/>
      <c r="C6" s="209"/>
      <c r="D6" s="209"/>
      <c r="E6" s="209"/>
      <c r="F6" s="209"/>
      <c r="G6" s="209"/>
      <c r="H6" s="209"/>
      <c r="I6" s="209"/>
      <c r="J6" s="209"/>
      <c r="K6" s="208"/>
    </row>
    <row r="7" spans="1:11" x14ac:dyDescent="0.25">
      <c r="A7" s="209"/>
      <c r="B7" s="209"/>
      <c r="C7" s="209"/>
      <c r="D7" s="209"/>
      <c r="E7" s="209"/>
      <c r="F7" s="209"/>
      <c r="G7" s="209"/>
      <c r="H7" s="209"/>
      <c r="I7" s="209"/>
      <c r="J7" s="209"/>
      <c r="K7" s="208"/>
    </row>
    <row r="8" spans="1:11" ht="21" x14ac:dyDescent="0.35">
      <c r="A8" s="210" t="s">
        <v>195</v>
      </c>
      <c r="B8" s="210"/>
      <c r="C8" s="210"/>
      <c r="D8" s="210"/>
      <c r="E8" s="210"/>
      <c r="F8" s="210"/>
      <c r="G8" s="210"/>
      <c r="H8" s="210"/>
      <c r="I8" s="210"/>
      <c r="J8" s="210"/>
      <c r="K8" s="207"/>
    </row>
    <row r="9" spans="1:11" ht="21" x14ac:dyDescent="0.35">
      <c r="A9" s="210"/>
      <c r="B9" s="210"/>
      <c r="C9" s="210"/>
      <c r="D9" s="210"/>
      <c r="E9" s="210"/>
      <c r="F9" s="210"/>
      <c r="G9" s="210"/>
      <c r="H9" s="210"/>
      <c r="I9" s="210"/>
      <c r="J9" s="210"/>
      <c r="K9" s="207"/>
    </row>
    <row r="10" spans="1:11" ht="21" x14ac:dyDescent="0.35">
      <c r="A10" s="210" t="s">
        <v>193</v>
      </c>
      <c r="B10" s="210"/>
      <c r="C10" s="210"/>
      <c r="D10" s="208"/>
      <c r="E10" s="211">
        <f>M34/12</f>
        <v>0</v>
      </c>
      <c r="F10" s="210"/>
      <c r="G10" s="210"/>
      <c r="H10" s="210"/>
      <c r="I10" s="210"/>
      <c r="J10" s="210"/>
      <c r="K10" s="207"/>
    </row>
    <row r="11" spans="1:11" ht="21" x14ac:dyDescent="0.35">
      <c r="A11" s="210"/>
      <c r="B11" s="210"/>
      <c r="C11" s="210"/>
      <c r="D11" s="212"/>
      <c r="E11" s="210"/>
      <c r="F11" s="210"/>
      <c r="G11" s="210"/>
      <c r="H11" s="210"/>
      <c r="I11" s="210"/>
      <c r="J11" s="210"/>
      <c r="K11" s="207"/>
    </row>
    <row r="12" spans="1:11" ht="21" x14ac:dyDescent="0.35">
      <c r="A12" s="210" t="s">
        <v>194</v>
      </c>
      <c r="B12" s="210"/>
      <c r="C12" s="210"/>
      <c r="D12" s="208"/>
      <c r="E12" s="211">
        <f>M36</f>
        <v>0</v>
      </c>
      <c r="F12" s="210"/>
      <c r="G12" s="210"/>
      <c r="H12" s="210"/>
      <c r="I12" s="210"/>
      <c r="J12" s="210"/>
      <c r="K12" s="207"/>
    </row>
    <row r="13" spans="1:11" ht="21" x14ac:dyDescent="0.35">
      <c r="A13" s="210"/>
      <c r="B13" s="210"/>
      <c r="C13" s="210"/>
      <c r="D13" s="210"/>
      <c r="E13" s="210"/>
      <c r="F13" s="210"/>
      <c r="G13" s="210"/>
      <c r="H13" s="210"/>
      <c r="I13" s="210"/>
      <c r="J13" s="210"/>
      <c r="K13" s="207"/>
    </row>
    <row r="14" spans="1:11" x14ac:dyDescent="0.25">
      <c r="A14" s="209"/>
      <c r="B14" s="209"/>
      <c r="C14" s="209"/>
      <c r="D14" s="209"/>
      <c r="E14" s="209"/>
      <c r="F14" s="209"/>
      <c r="G14" s="209"/>
      <c r="H14" s="209"/>
      <c r="I14" s="209"/>
      <c r="J14" s="209"/>
      <c r="K14" s="208"/>
    </row>
    <row r="15" spans="1:11" ht="21" x14ac:dyDescent="0.35">
      <c r="A15" s="210" t="s">
        <v>196</v>
      </c>
      <c r="B15" s="210"/>
      <c r="C15" s="210"/>
      <c r="D15" s="210"/>
      <c r="E15" s="210"/>
      <c r="F15" s="209"/>
      <c r="G15" s="209"/>
      <c r="H15" s="209"/>
      <c r="I15" s="209"/>
      <c r="J15" s="209"/>
      <c r="K15" s="208"/>
    </row>
    <row r="16" spans="1:11" ht="21" x14ac:dyDescent="0.35">
      <c r="A16" s="210"/>
      <c r="B16" s="210"/>
      <c r="C16" s="210"/>
      <c r="D16" s="210"/>
      <c r="E16" s="210"/>
      <c r="F16" s="209"/>
      <c r="G16" s="209"/>
      <c r="H16" s="209"/>
      <c r="I16" s="209"/>
      <c r="J16" s="209"/>
      <c r="K16" s="208"/>
    </row>
    <row r="17" spans="1:11" ht="21" x14ac:dyDescent="0.35">
      <c r="A17" s="210" t="s">
        <v>193</v>
      </c>
      <c r="B17" s="210"/>
      <c r="C17" s="210"/>
      <c r="D17" s="208"/>
      <c r="E17" s="211">
        <f>M43/12</f>
        <v>0</v>
      </c>
      <c r="F17" s="209"/>
      <c r="G17" s="209"/>
      <c r="H17" s="209"/>
      <c r="I17" s="209"/>
      <c r="J17" s="209"/>
      <c r="K17" s="208"/>
    </row>
    <row r="18" spans="1:11" ht="21" x14ac:dyDescent="0.35">
      <c r="A18" s="210"/>
      <c r="B18" s="210"/>
      <c r="C18" s="210"/>
      <c r="D18" s="212"/>
      <c r="E18" s="210"/>
      <c r="F18" s="209"/>
      <c r="G18" s="209"/>
      <c r="H18" s="209"/>
      <c r="I18" s="209"/>
      <c r="J18" s="209"/>
      <c r="K18" s="208"/>
    </row>
    <row r="19" spans="1:11" ht="21" x14ac:dyDescent="0.35">
      <c r="A19" s="210" t="s">
        <v>194</v>
      </c>
      <c r="B19" s="210"/>
      <c r="C19" s="210"/>
      <c r="D19" s="208"/>
      <c r="E19" s="211">
        <f>M45</f>
        <v>0</v>
      </c>
      <c r="F19" s="209"/>
      <c r="G19" s="209"/>
      <c r="H19" s="209"/>
      <c r="I19" s="209"/>
      <c r="J19" s="209"/>
      <c r="K19" s="20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15"/>
  <sheetViews>
    <sheetView workbookViewId="0">
      <selection activeCell="H32" sqref="H32"/>
    </sheetView>
  </sheetViews>
  <sheetFormatPr defaultColWidth="10.85546875" defaultRowHeight="15" x14ac:dyDescent="0.25"/>
  <cols>
    <col min="1" max="1" width="14" style="31" bestFit="1" customWidth="1"/>
    <col min="2" max="16384" width="10.85546875" style="31"/>
  </cols>
  <sheetData>
    <row r="1" spans="1:2" ht="26.1" x14ac:dyDescent="0.6">
      <c r="A1" s="277" t="s">
        <v>10</v>
      </c>
      <c r="B1" s="277"/>
    </row>
    <row r="2" spans="1:2" ht="26.1" x14ac:dyDescent="0.6">
      <c r="A2" s="32"/>
      <c r="B2" s="32"/>
    </row>
    <row r="3" spans="1:2" ht="21" x14ac:dyDescent="0.35">
      <c r="A3" s="33" t="s">
        <v>0</v>
      </c>
      <c r="B3" s="33" t="s">
        <v>1</v>
      </c>
    </row>
    <row r="4" spans="1:2" ht="21" x14ac:dyDescent="0.35">
      <c r="A4" s="34">
        <v>2015</v>
      </c>
      <c r="B4" s="35">
        <v>5.0000000000000001E-3</v>
      </c>
    </row>
    <row r="5" spans="1:2" ht="21" x14ac:dyDescent="0.35">
      <c r="A5" s="34">
        <v>2014</v>
      </c>
      <c r="B5" s="35">
        <v>1.46E-2</v>
      </c>
    </row>
    <row r="6" spans="1:2" ht="21" x14ac:dyDescent="0.35">
      <c r="A6" s="34">
        <v>2013</v>
      </c>
      <c r="B6" s="35">
        <v>2.5600000000000001E-2</v>
      </c>
    </row>
    <row r="7" spans="1:2" ht="21" x14ac:dyDescent="0.35">
      <c r="A7" s="34">
        <v>2012</v>
      </c>
      <c r="B7" s="35">
        <v>2.8299999999999999E-2</v>
      </c>
    </row>
    <row r="8" spans="1:2" ht="21" x14ac:dyDescent="0.35">
      <c r="A8" s="34">
        <v>2011</v>
      </c>
      <c r="B8" s="35">
        <v>4.48E-2</v>
      </c>
    </row>
    <row r="9" spans="1:2" ht="21" x14ac:dyDescent="0.35">
      <c r="A9" s="34">
        <v>2010</v>
      </c>
      <c r="B9" s="35">
        <v>3.2899999999999999E-2</v>
      </c>
    </row>
    <row r="10" spans="1:2" ht="21" x14ac:dyDescent="0.35">
      <c r="A10" s="34">
        <v>2009</v>
      </c>
      <c r="B10" s="35">
        <v>2.1000000000000001E-2</v>
      </c>
    </row>
    <row r="11" spans="1:2" ht="21" x14ac:dyDescent="0.35">
      <c r="A11" s="34">
        <v>2008</v>
      </c>
      <c r="B11" s="35">
        <v>3.5999999999999997E-2</v>
      </c>
    </row>
    <row r="12" spans="1:2" ht="21" x14ac:dyDescent="0.35">
      <c r="A12" s="34">
        <v>2007</v>
      </c>
      <c r="B12" s="35">
        <v>2.3E-2</v>
      </c>
    </row>
    <row r="13" spans="1:2" ht="21" x14ac:dyDescent="0.35">
      <c r="A13" s="34">
        <v>2006</v>
      </c>
      <c r="B13" s="35">
        <v>2.3E-2</v>
      </c>
    </row>
    <row r="14" spans="1:2" ht="21.75" thickBot="1" x14ac:dyDescent="0.4">
      <c r="A14" s="34">
        <v>2005</v>
      </c>
      <c r="B14" s="35">
        <v>2.1000000000000001E-2</v>
      </c>
    </row>
    <row r="15" spans="1:2" ht="21.75" thickTop="1" x14ac:dyDescent="0.35">
      <c r="A15" s="36" t="s">
        <v>9</v>
      </c>
      <c r="B15" s="37">
        <f>AVERAGE(B4:B14)</f>
        <v>2.5018181818181818E-2</v>
      </c>
    </row>
  </sheetData>
  <sheetProtection password="C59F" sheet="1" objects="1" scenarios="1"/>
  <mergeCells count="1">
    <mergeCell ref="A1:B1"/>
  </mergeCells>
  <phoneticPr fontId="7" type="noConversion"/>
  <printOptions horizontalCentered="1"/>
  <pageMargins left="0.75000000000000011" right="0.75000000000000011" top="1" bottom="1" header="0.5" footer="0.5"/>
  <pageSetup paperSize="9" orientation="portrait" horizontalDpi="4294967292" verticalDpi="4294967292"/>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58"/>
  <sheetViews>
    <sheetView workbookViewId="0">
      <pane xSplit="1" ySplit="3" topLeftCell="AF4" activePane="bottomRight" state="frozen"/>
      <selection activeCell="H32" sqref="H32"/>
      <selection pane="topRight" activeCell="H32" sqref="H32"/>
      <selection pane="bottomLeft" activeCell="H32" sqref="H32"/>
      <selection pane="bottomRight" activeCell="H32" sqref="H32"/>
    </sheetView>
  </sheetViews>
  <sheetFormatPr defaultColWidth="10.85546875" defaultRowHeight="15" x14ac:dyDescent="0.25"/>
  <cols>
    <col min="1" max="1" width="11.42578125" style="31" bestFit="1" customWidth="1"/>
    <col min="2" max="2" width="3.140625" style="31" bestFit="1" customWidth="1"/>
    <col min="3" max="55" width="10.85546875" style="31"/>
    <col min="56" max="60" width="10.85546875" style="86"/>
    <col min="61" max="16384" width="10.85546875" style="31"/>
  </cols>
  <sheetData>
    <row r="1" spans="1:65" ht="15.75" thickBot="1" x14ac:dyDescent="0.3">
      <c r="A1" s="38">
        <f>D38+Variables!C5</f>
        <v>0.02</v>
      </c>
      <c r="B1" s="38"/>
    </row>
    <row r="2" spans="1:65" x14ac:dyDescent="0.25">
      <c r="A2" s="39"/>
      <c r="B2" s="40"/>
      <c r="C2" s="40">
        <v>1</v>
      </c>
      <c r="D2" s="40">
        <v>2</v>
      </c>
      <c r="E2" s="40">
        <v>3</v>
      </c>
      <c r="F2" s="40">
        <v>4</v>
      </c>
      <c r="G2" s="40">
        <v>5</v>
      </c>
      <c r="H2" s="40">
        <v>6</v>
      </c>
      <c r="I2" s="40">
        <v>7</v>
      </c>
      <c r="J2" s="40">
        <v>8</v>
      </c>
      <c r="K2" s="40">
        <v>9</v>
      </c>
      <c r="L2" s="40">
        <v>10</v>
      </c>
      <c r="M2" s="40">
        <v>11</v>
      </c>
      <c r="N2" s="40">
        <v>12</v>
      </c>
      <c r="O2" s="40">
        <v>13</v>
      </c>
      <c r="P2" s="40">
        <v>14</v>
      </c>
      <c r="Q2" s="40">
        <v>15</v>
      </c>
      <c r="R2" s="40">
        <v>16</v>
      </c>
      <c r="S2" s="40">
        <v>17</v>
      </c>
      <c r="T2" s="40">
        <v>18</v>
      </c>
      <c r="U2" s="40">
        <v>19</v>
      </c>
      <c r="V2" s="40">
        <v>20</v>
      </c>
      <c r="W2" s="40">
        <v>21</v>
      </c>
      <c r="X2" s="40">
        <v>22</v>
      </c>
      <c r="Y2" s="40">
        <v>23</v>
      </c>
      <c r="Z2" s="40">
        <v>24</v>
      </c>
      <c r="AA2" s="40">
        <v>25</v>
      </c>
      <c r="AB2" s="40">
        <v>26</v>
      </c>
      <c r="AC2" s="40">
        <v>27</v>
      </c>
      <c r="AD2" s="40">
        <v>28</v>
      </c>
      <c r="AE2" s="40">
        <v>29</v>
      </c>
      <c r="AF2" s="40">
        <v>30</v>
      </c>
      <c r="AG2" s="40">
        <v>31</v>
      </c>
      <c r="AH2" s="40">
        <v>32</v>
      </c>
      <c r="AI2" s="40">
        <v>33</v>
      </c>
      <c r="AJ2" s="40">
        <v>34</v>
      </c>
      <c r="AK2" s="40">
        <v>35</v>
      </c>
      <c r="AL2" s="40">
        <v>36</v>
      </c>
      <c r="AM2" s="40">
        <v>37</v>
      </c>
      <c r="AN2" s="40">
        <v>38</v>
      </c>
      <c r="AO2" s="40">
        <v>39</v>
      </c>
      <c r="AP2" s="40">
        <v>40</v>
      </c>
      <c r="AQ2" s="40">
        <v>41</v>
      </c>
      <c r="AR2" s="40">
        <v>42</v>
      </c>
      <c r="AS2" s="40">
        <v>43</v>
      </c>
      <c r="AT2" s="40">
        <v>44</v>
      </c>
      <c r="AU2" s="41">
        <v>45</v>
      </c>
      <c r="AV2" s="40">
        <v>46</v>
      </c>
      <c r="AW2" s="40">
        <v>47</v>
      </c>
      <c r="AX2" s="40">
        <v>48</v>
      </c>
      <c r="AY2" s="40">
        <v>49</v>
      </c>
      <c r="AZ2" s="40">
        <v>50</v>
      </c>
      <c r="BA2" s="40">
        <v>51</v>
      </c>
      <c r="BB2" s="40">
        <v>52</v>
      </c>
      <c r="BC2" s="40">
        <v>53</v>
      </c>
      <c r="BD2" s="87">
        <v>54</v>
      </c>
      <c r="BE2" s="87">
        <v>55</v>
      </c>
      <c r="BF2" s="88">
        <v>56</v>
      </c>
    </row>
    <row r="3" spans="1:65" x14ac:dyDescent="0.25">
      <c r="A3" s="42" t="s">
        <v>5</v>
      </c>
      <c r="B3" s="13"/>
      <c r="C3" s="31">
        <v>16</v>
      </c>
      <c r="D3" s="31">
        <v>17</v>
      </c>
      <c r="E3" s="31">
        <v>18</v>
      </c>
      <c r="F3" s="31">
        <v>19</v>
      </c>
      <c r="G3" s="31">
        <v>20</v>
      </c>
      <c r="H3" s="31">
        <v>21</v>
      </c>
      <c r="I3" s="31">
        <v>22</v>
      </c>
      <c r="J3" s="31">
        <v>23</v>
      </c>
      <c r="K3" s="31">
        <v>24</v>
      </c>
      <c r="L3" s="31">
        <v>25</v>
      </c>
      <c r="M3" s="31">
        <v>26</v>
      </c>
      <c r="N3" s="31">
        <v>27</v>
      </c>
      <c r="O3" s="31">
        <v>28</v>
      </c>
      <c r="P3" s="31">
        <v>29</v>
      </c>
      <c r="Q3" s="31">
        <v>30</v>
      </c>
      <c r="R3" s="31">
        <v>31</v>
      </c>
      <c r="S3" s="31">
        <v>32</v>
      </c>
      <c r="T3" s="31">
        <v>33</v>
      </c>
      <c r="U3" s="31">
        <v>34</v>
      </c>
      <c r="V3" s="31">
        <v>35</v>
      </c>
      <c r="W3" s="31">
        <v>36</v>
      </c>
      <c r="X3" s="31">
        <v>37</v>
      </c>
      <c r="Y3" s="31">
        <v>38</v>
      </c>
      <c r="Z3" s="31">
        <v>39</v>
      </c>
      <c r="AA3" s="31">
        <v>40</v>
      </c>
      <c r="AB3" s="31">
        <v>41</v>
      </c>
      <c r="AC3" s="31">
        <v>42</v>
      </c>
      <c r="AD3" s="31">
        <v>43</v>
      </c>
      <c r="AE3" s="31">
        <v>44</v>
      </c>
      <c r="AF3" s="31">
        <v>45</v>
      </c>
      <c r="AG3" s="31">
        <v>46</v>
      </c>
      <c r="AH3" s="31">
        <v>47</v>
      </c>
      <c r="AI3" s="31">
        <v>48</v>
      </c>
      <c r="AJ3" s="31">
        <v>49</v>
      </c>
      <c r="AK3" s="31">
        <v>50</v>
      </c>
      <c r="AL3" s="31">
        <v>51</v>
      </c>
      <c r="AM3" s="31">
        <v>52</v>
      </c>
      <c r="AN3" s="31">
        <v>53</v>
      </c>
      <c r="AO3" s="31">
        <v>54</v>
      </c>
      <c r="AP3" s="31">
        <v>55</v>
      </c>
      <c r="AQ3" s="31">
        <v>56</v>
      </c>
      <c r="AR3" s="31">
        <v>57</v>
      </c>
      <c r="AS3" s="31">
        <v>58</v>
      </c>
      <c r="AT3" s="31">
        <v>59</v>
      </c>
      <c r="AU3" s="31">
        <v>60</v>
      </c>
      <c r="AV3" s="31">
        <v>61</v>
      </c>
      <c r="AW3" s="31">
        <v>62</v>
      </c>
      <c r="AX3" s="31">
        <v>63</v>
      </c>
      <c r="AY3" s="31">
        <v>64</v>
      </c>
      <c r="AZ3" s="31">
        <v>65</v>
      </c>
      <c r="BA3" s="31">
        <v>66</v>
      </c>
      <c r="BB3" s="31">
        <v>67</v>
      </c>
      <c r="BC3" s="31">
        <v>68</v>
      </c>
      <c r="BD3" s="86">
        <v>71</v>
      </c>
      <c r="BE3" s="86">
        <v>72</v>
      </c>
      <c r="BF3" s="86">
        <v>73</v>
      </c>
      <c r="BG3" s="89"/>
      <c r="BH3" s="89"/>
      <c r="BI3" s="43"/>
      <c r="BJ3" s="43"/>
      <c r="BK3" s="43"/>
      <c r="BL3" s="43"/>
      <c r="BM3" s="43"/>
    </row>
    <row r="4" spans="1:65" x14ac:dyDescent="0.25">
      <c r="A4" s="44">
        <f>'2015 Pension Calculation'!E20</f>
        <v>40000</v>
      </c>
      <c r="B4" s="45">
        <v>1</v>
      </c>
      <c r="C4" s="46">
        <f>$A4*Variables!$C$2</f>
        <v>740.74074074074065</v>
      </c>
      <c r="D4" s="46">
        <f t="shared" ref="D4:Y4" si="0">(C4*$A$1)+C4</f>
        <v>755.55555555555543</v>
      </c>
      <c r="E4" s="46">
        <f t="shared" si="0"/>
        <v>770.66666666666652</v>
      </c>
      <c r="F4" s="46">
        <f t="shared" si="0"/>
        <v>786.07999999999981</v>
      </c>
      <c r="G4" s="46">
        <f>(F4*$A$1)+F4</f>
        <v>801.80159999999978</v>
      </c>
      <c r="H4" s="46">
        <f t="shared" si="0"/>
        <v>817.83763199999976</v>
      </c>
      <c r="I4" s="46">
        <f t="shared" si="0"/>
        <v>834.19438463999973</v>
      </c>
      <c r="J4" s="46">
        <f t="shared" si="0"/>
        <v>850.87827233279972</v>
      </c>
      <c r="K4" s="46">
        <f t="shared" si="0"/>
        <v>867.89583777945575</v>
      </c>
      <c r="L4" s="46">
        <f t="shared" si="0"/>
        <v>885.25375453504489</v>
      </c>
      <c r="M4" s="46">
        <f t="shared" si="0"/>
        <v>902.95882962574581</v>
      </c>
      <c r="N4" s="46">
        <f t="shared" si="0"/>
        <v>921.01800621826078</v>
      </c>
      <c r="O4" s="46">
        <f t="shared" si="0"/>
        <v>939.43836634262595</v>
      </c>
      <c r="P4" s="46">
        <f t="shared" si="0"/>
        <v>958.22713366947846</v>
      </c>
      <c r="Q4" s="46">
        <f t="shared" si="0"/>
        <v>977.39167634286798</v>
      </c>
      <c r="R4" s="46">
        <f t="shared" si="0"/>
        <v>996.93950986972538</v>
      </c>
      <c r="S4" s="46">
        <f t="shared" si="0"/>
        <v>1016.8783000671199</v>
      </c>
      <c r="T4" s="46">
        <f t="shared" si="0"/>
        <v>1037.2158660684622</v>
      </c>
      <c r="U4" s="46">
        <f t="shared" si="0"/>
        <v>1057.9601833898314</v>
      </c>
      <c r="V4" s="46">
        <f t="shared" si="0"/>
        <v>1079.119387057628</v>
      </c>
      <c r="W4" s="46">
        <f t="shared" si="0"/>
        <v>1100.7017747987807</v>
      </c>
      <c r="X4" s="46">
        <f t="shared" si="0"/>
        <v>1122.7158102947562</v>
      </c>
      <c r="Y4" s="46">
        <f t="shared" si="0"/>
        <v>1145.1701265006513</v>
      </c>
      <c r="Z4" s="46">
        <f t="shared" ref="Z4:Z26" si="1">(Y4*$A$1)+Y4</f>
        <v>1168.0735290306643</v>
      </c>
      <c r="AA4" s="46">
        <f t="shared" ref="AA4:AA27" si="2">(Z4*$A$1)+Z4</f>
        <v>1191.4349996112776</v>
      </c>
      <c r="AB4" s="46">
        <f t="shared" ref="AB4:AB28" si="3">(AA4*$A$1)+AA4</f>
        <v>1215.263699603503</v>
      </c>
      <c r="AC4" s="46">
        <f t="shared" ref="AC4:AC29" si="4">(AB4*$A$1)+AB4</f>
        <v>1239.5689735955732</v>
      </c>
      <c r="AD4" s="46">
        <f t="shared" ref="AD4:AD30" si="5">(AC4*$A$1)+AC4</f>
        <v>1264.3603530674848</v>
      </c>
      <c r="AE4" s="46">
        <f t="shared" ref="AE4:AE31" si="6">(AD4*$A$1)+AD4</f>
        <v>1289.6475601288344</v>
      </c>
      <c r="AF4" s="46">
        <f t="shared" ref="AF4:AF32" si="7">(AE4*$A$1)+AE4</f>
        <v>1315.440511331411</v>
      </c>
      <c r="AG4" s="46">
        <f t="shared" ref="AG4:AG33" si="8">(AF4*$A$1)+AF4</f>
        <v>1341.7493215580391</v>
      </c>
      <c r="AH4" s="46">
        <f t="shared" ref="AH4:AH34" si="9">(AG4*$A$1)+AG4</f>
        <v>1368.5843079891999</v>
      </c>
      <c r="AI4" s="46">
        <f t="shared" ref="AI4:AI35" si="10">(AH4*$A$1)+AH4</f>
        <v>1395.955994148984</v>
      </c>
      <c r="AJ4" s="46">
        <f t="shared" ref="AJ4:AJ36" si="11">(AI4*$A$1)+AI4</f>
        <v>1423.8751140319637</v>
      </c>
      <c r="AK4" s="46">
        <f t="shared" ref="AK4:AK37" si="12">(AJ4*$A$1)+AJ4</f>
        <v>1452.352616312603</v>
      </c>
      <c r="AL4" s="46">
        <f t="shared" ref="AL4:AL38" si="13">(AK4*$A$1)+AK4</f>
        <v>1481.399668638855</v>
      </c>
      <c r="AM4" s="46">
        <f t="shared" ref="AM4:AM39" si="14">(AL4*$A$1)+AL4</f>
        <v>1511.0276620116322</v>
      </c>
      <c r="AN4" s="46">
        <f t="shared" ref="AN4:AN40" si="15">(AM4*$A$1)+AM4</f>
        <v>1541.2482152518648</v>
      </c>
      <c r="AO4" s="46">
        <f t="shared" ref="AO4:AO41" si="16">(AN4*$A$1)+AN4</f>
        <v>1572.0731795569022</v>
      </c>
      <c r="AP4" s="46">
        <f t="shared" ref="AP4:AP42" si="17">(AO4*$A$1)+AO4</f>
        <v>1603.5146431480402</v>
      </c>
      <c r="AQ4" s="46">
        <f t="shared" ref="AQ4:AQ43" si="18">(AP4*$A$1)+AP4</f>
        <v>1635.584936011001</v>
      </c>
      <c r="AR4" s="46">
        <f t="shared" ref="AR4:AR44" si="19">(AQ4*$A$1)+AQ4</f>
        <v>1668.296634731221</v>
      </c>
      <c r="AS4" s="46">
        <f t="shared" ref="AS4:AS45" si="20">(AR4*$A$1)+AR4</f>
        <v>1701.6625674258455</v>
      </c>
      <c r="AT4" s="46">
        <f t="shared" ref="AT4:AT46" si="21">(AS4*$A$1)+AS4</f>
        <v>1735.6958187743624</v>
      </c>
      <c r="AU4" s="47">
        <f t="shared" ref="AU4:BF48" si="22">(AT4*$A$1)+AT4</f>
        <v>1770.4097351498497</v>
      </c>
      <c r="AV4" s="47">
        <f t="shared" ref="AV4:AV30" si="23">(AU4*$A$1)+AU4</f>
        <v>1805.8179298528466</v>
      </c>
      <c r="AW4" s="47">
        <f t="shared" ref="AW4:AW52" si="24">(AV4*$A$1)+AV4</f>
        <v>1841.9342884499035</v>
      </c>
      <c r="AX4" s="47">
        <f t="shared" ref="AX4:AX30" si="25">(AW4*$A$1)+AW4</f>
        <v>1878.7729742189017</v>
      </c>
      <c r="AY4" s="47">
        <f t="shared" ref="AY4:AY30" si="26">(AX4*$A$1)+AX4</f>
        <v>1916.3484337032799</v>
      </c>
      <c r="AZ4" s="47">
        <f t="shared" ref="AZ4:AZ30" si="27">(AY4*$A$1)+AY4</f>
        <v>1954.6754023773456</v>
      </c>
      <c r="BA4" s="47">
        <f t="shared" ref="BA4:BA30" si="28">(AZ4*$A$1)+AZ4</f>
        <v>1993.7689104248925</v>
      </c>
      <c r="BB4" s="47">
        <f t="shared" ref="BB4:BB30" si="29">(BA4*$A$1)+BA4</f>
        <v>2033.6442886333903</v>
      </c>
      <c r="BC4" s="47">
        <f t="shared" ref="BC4:BC30" si="30">(BB4*$A$1)+BB4</f>
        <v>2074.3171744060583</v>
      </c>
      <c r="BD4" s="90">
        <f t="shared" ref="BD4:BD30" si="31">(BC4*$A$1)+BC4</f>
        <v>2115.8035178941795</v>
      </c>
      <c r="BE4" s="90">
        <f t="shared" ref="BE4:BE30" si="32">(BD4*$A$1)+BD4</f>
        <v>2158.1195882520633</v>
      </c>
      <c r="BF4" s="90">
        <f t="shared" ref="BF4:BF30" si="33">(BE4*$A$1)+BE4</f>
        <v>2201.2819800171046</v>
      </c>
      <c r="BG4" s="90">
        <f t="shared" ref="BG4:BG54" si="34">(BF4*$A$1)+BF4</f>
        <v>2245.3076196174466</v>
      </c>
      <c r="BH4" s="90">
        <f t="shared" ref="BH4:BH52" si="35">(BG4*$A$1)+BG4</f>
        <v>2290.2137720097953</v>
      </c>
    </row>
    <row r="5" spans="1:65" x14ac:dyDescent="0.25">
      <c r="A5" s="44">
        <f>'2015 Pension Calculation'!E21</f>
        <v>40199.999999999993</v>
      </c>
      <c r="B5" s="45">
        <v>2</v>
      </c>
      <c r="C5" s="48"/>
      <c r="D5" s="46">
        <f>$A5*Variables!$C$2</f>
        <v>744.44444444444423</v>
      </c>
      <c r="E5" s="46">
        <f t="shared" ref="E5:Y5" si="36">(D5*$A$1)+D5</f>
        <v>759.33333333333314</v>
      </c>
      <c r="F5" s="46">
        <f t="shared" si="36"/>
        <v>774.51999999999975</v>
      </c>
      <c r="G5" s="46">
        <f t="shared" si="36"/>
        <v>790.01039999999978</v>
      </c>
      <c r="H5" s="46">
        <f t="shared" si="36"/>
        <v>805.81060799999977</v>
      </c>
      <c r="I5" s="46">
        <f t="shared" si="36"/>
        <v>821.92682015999981</v>
      </c>
      <c r="J5" s="46">
        <f t="shared" si="36"/>
        <v>838.36535656319984</v>
      </c>
      <c r="K5" s="46">
        <f t="shared" si="36"/>
        <v>855.13266369446387</v>
      </c>
      <c r="L5" s="46">
        <f t="shared" si="36"/>
        <v>872.23531696835312</v>
      </c>
      <c r="M5" s="46">
        <f t="shared" si="36"/>
        <v>889.68002330772015</v>
      </c>
      <c r="N5" s="46">
        <f t="shared" si="36"/>
        <v>907.47362377387458</v>
      </c>
      <c r="O5" s="46">
        <f t="shared" si="36"/>
        <v>925.6230962493521</v>
      </c>
      <c r="P5" s="46">
        <f t="shared" si="36"/>
        <v>944.13555817433917</v>
      </c>
      <c r="Q5" s="46">
        <f t="shared" si="36"/>
        <v>963.01826933782593</v>
      </c>
      <c r="R5" s="46">
        <f t="shared" si="36"/>
        <v>982.27863472458239</v>
      </c>
      <c r="S5" s="46">
        <f t="shared" si="36"/>
        <v>1001.924207419074</v>
      </c>
      <c r="T5" s="46">
        <f t="shared" si="36"/>
        <v>1021.9626915674555</v>
      </c>
      <c r="U5" s="46">
        <f t="shared" si="36"/>
        <v>1042.4019453988046</v>
      </c>
      <c r="V5" s="46">
        <f t="shared" si="36"/>
        <v>1063.2499843067808</v>
      </c>
      <c r="W5" s="46">
        <f t="shared" si="36"/>
        <v>1084.5149839929163</v>
      </c>
      <c r="X5" s="46">
        <f t="shared" si="36"/>
        <v>1106.2052836727746</v>
      </c>
      <c r="Y5" s="46">
        <f t="shared" si="36"/>
        <v>1128.3293893462301</v>
      </c>
      <c r="Z5" s="46">
        <f t="shared" si="1"/>
        <v>1150.8959771331547</v>
      </c>
      <c r="AA5" s="46">
        <f t="shared" si="2"/>
        <v>1173.9138966758178</v>
      </c>
      <c r="AB5" s="46">
        <f t="shared" si="3"/>
        <v>1197.3921746093342</v>
      </c>
      <c r="AC5" s="46">
        <f t="shared" si="4"/>
        <v>1221.3400181015209</v>
      </c>
      <c r="AD5" s="46">
        <f t="shared" si="5"/>
        <v>1245.7668184635513</v>
      </c>
      <c r="AE5" s="46">
        <f t="shared" si="6"/>
        <v>1270.6821548328223</v>
      </c>
      <c r="AF5" s="46">
        <f t="shared" si="7"/>
        <v>1296.0957979294787</v>
      </c>
      <c r="AG5" s="46">
        <f t="shared" si="8"/>
        <v>1322.0177138880683</v>
      </c>
      <c r="AH5" s="46">
        <f t="shared" si="9"/>
        <v>1348.4580681658297</v>
      </c>
      <c r="AI5" s="46">
        <f t="shared" si="10"/>
        <v>1375.4272295291462</v>
      </c>
      <c r="AJ5" s="46">
        <f t="shared" si="11"/>
        <v>1402.9357741197291</v>
      </c>
      <c r="AK5" s="46">
        <f t="shared" si="12"/>
        <v>1430.9944896021236</v>
      </c>
      <c r="AL5" s="46">
        <f t="shared" si="13"/>
        <v>1459.614379394166</v>
      </c>
      <c r="AM5" s="46">
        <f t="shared" si="14"/>
        <v>1488.8066669820494</v>
      </c>
      <c r="AN5" s="46">
        <f t="shared" si="15"/>
        <v>1518.5828003216905</v>
      </c>
      <c r="AO5" s="46">
        <f t="shared" si="16"/>
        <v>1548.9544563281243</v>
      </c>
      <c r="AP5" s="46">
        <f t="shared" si="17"/>
        <v>1579.9335454546867</v>
      </c>
      <c r="AQ5" s="46">
        <f t="shared" si="18"/>
        <v>1611.5322163637804</v>
      </c>
      <c r="AR5" s="46">
        <f t="shared" si="19"/>
        <v>1643.7628606910559</v>
      </c>
      <c r="AS5" s="46">
        <f t="shared" si="20"/>
        <v>1676.6381179048772</v>
      </c>
      <c r="AT5" s="46">
        <f t="shared" si="21"/>
        <v>1710.1708802629746</v>
      </c>
      <c r="AU5" s="47">
        <f t="shared" si="22"/>
        <v>1744.3742978682342</v>
      </c>
      <c r="AV5" s="47">
        <f t="shared" si="23"/>
        <v>1779.261783825599</v>
      </c>
      <c r="AW5" s="47">
        <f t="shared" si="24"/>
        <v>1814.8470195021109</v>
      </c>
      <c r="AX5" s="47">
        <f t="shared" si="25"/>
        <v>1851.1439598921531</v>
      </c>
      <c r="AY5" s="47">
        <f t="shared" si="26"/>
        <v>1888.1668390899963</v>
      </c>
      <c r="AZ5" s="47">
        <f t="shared" si="27"/>
        <v>1925.9301758717963</v>
      </c>
      <c r="BA5" s="47">
        <f t="shared" si="28"/>
        <v>1964.4487793892322</v>
      </c>
      <c r="BB5" s="47">
        <f t="shared" si="29"/>
        <v>2003.7377549770167</v>
      </c>
      <c r="BC5" s="47">
        <f t="shared" si="30"/>
        <v>2043.8125100765571</v>
      </c>
      <c r="BD5" s="90">
        <f t="shared" si="31"/>
        <v>2084.6887602780885</v>
      </c>
      <c r="BE5" s="90">
        <f t="shared" si="32"/>
        <v>2126.3825354836504</v>
      </c>
      <c r="BF5" s="90">
        <f t="shared" si="33"/>
        <v>2168.9101861933232</v>
      </c>
      <c r="BG5" s="90">
        <f t="shared" si="34"/>
        <v>2212.2883899171898</v>
      </c>
      <c r="BH5" s="90">
        <f t="shared" si="35"/>
        <v>2256.5341577155336</v>
      </c>
    </row>
    <row r="6" spans="1:65" x14ac:dyDescent="0.25">
      <c r="A6" s="44">
        <f>'2015 Pension Calculation'!E22</f>
        <v>40400.999999999985</v>
      </c>
      <c r="B6" s="45">
        <v>3</v>
      </c>
      <c r="C6" s="48"/>
      <c r="D6" s="48"/>
      <c r="E6" s="46">
        <f>$A6*Variables!$C$2</f>
        <v>748.1666666666664</v>
      </c>
      <c r="F6" s="46">
        <f t="shared" ref="F6:Y6" si="37">(E6*$A$1)+E6</f>
        <v>763.12999999999977</v>
      </c>
      <c r="G6" s="46">
        <f t="shared" si="37"/>
        <v>778.39259999999979</v>
      </c>
      <c r="H6" s="46">
        <f t="shared" si="37"/>
        <v>793.9604519999998</v>
      </c>
      <c r="I6" s="46">
        <f t="shared" si="37"/>
        <v>809.83966103999978</v>
      </c>
      <c r="J6" s="46">
        <f t="shared" si="37"/>
        <v>826.03645426079981</v>
      </c>
      <c r="K6" s="46">
        <f t="shared" si="37"/>
        <v>842.55718334601579</v>
      </c>
      <c r="L6" s="46">
        <f t="shared" si="37"/>
        <v>859.40832701293607</v>
      </c>
      <c r="M6" s="46">
        <f t="shared" si="37"/>
        <v>876.59649355319482</v>
      </c>
      <c r="N6" s="46">
        <f t="shared" si="37"/>
        <v>894.1284234242587</v>
      </c>
      <c r="O6" s="46">
        <f t="shared" si="37"/>
        <v>912.01099189274385</v>
      </c>
      <c r="P6" s="46">
        <f t="shared" si="37"/>
        <v>930.2512117305987</v>
      </c>
      <c r="Q6" s="46">
        <f t="shared" si="37"/>
        <v>948.85623596521066</v>
      </c>
      <c r="R6" s="46">
        <f t="shared" si="37"/>
        <v>967.8333606845149</v>
      </c>
      <c r="S6" s="46">
        <f t="shared" si="37"/>
        <v>987.19002789820524</v>
      </c>
      <c r="T6" s="46">
        <f t="shared" si="37"/>
        <v>1006.9338284561693</v>
      </c>
      <c r="U6" s="46">
        <f t="shared" si="37"/>
        <v>1027.0725050252927</v>
      </c>
      <c r="V6" s="46">
        <f t="shared" si="37"/>
        <v>1047.6139551257986</v>
      </c>
      <c r="W6" s="46">
        <f t="shared" si="37"/>
        <v>1068.5662342283147</v>
      </c>
      <c r="X6" s="46">
        <f t="shared" si="37"/>
        <v>1089.9375589128811</v>
      </c>
      <c r="Y6" s="46">
        <f t="shared" si="37"/>
        <v>1111.7363100911386</v>
      </c>
      <c r="Z6" s="46">
        <f t="shared" si="1"/>
        <v>1133.9710362929613</v>
      </c>
      <c r="AA6" s="46">
        <f t="shared" si="2"/>
        <v>1156.6504570188206</v>
      </c>
      <c r="AB6" s="46">
        <f t="shared" si="3"/>
        <v>1179.7834661591969</v>
      </c>
      <c r="AC6" s="46">
        <f t="shared" si="4"/>
        <v>1203.3791354823809</v>
      </c>
      <c r="AD6" s="46">
        <f t="shared" si="5"/>
        <v>1227.4467181920286</v>
      </c>
      <c r="AE6" s="46">
        <f t="shared" si="6"/>
        <v>1251.9956525558691</v>
      </c>
      <c r="AF6" s="46">
        <f t="shared" si="7"/>
        <v>1277.0355656069864</v>
      </c>
      <c r="AG6" s="46">
        <f t="shared" si="8"/>
        <v>1302.5762769191263</v>
      </c>
      <c r="AH6" s="46">
        <f t="shared" si="9"/>
        <v>1328.6278024575088</v>
      </c>
      <c r="AI6" s="46">
        <f t="shared" si="10"/>
        <v>1355.2003585066589</v>
      </c>
      <c r="AJ6" s="46">
        <f t="shared" si="11"/>
        <v>1382.304365676792</v>
      </c>
      <c r="AK6" s="46">
        <f t="shared" si="12"/>
        <v>1409.9504529903279</v>
      </c>
      <c r="AL6" s="46">
        <f t="shared" si="13"/>
        <v>1438.1494620501344</v>
      </c>
      <c r="AM6" s="46">
        <f t="shared" si="14"/>
        <v>1466.9124512911371</v>
      </c>
      <c r="AN6" s="46">
        <f t="shared" si="15"/>
        <v>1496.2507003169599</v>
      </c>
      <c r="AO6" s="46">
        <f t="shared" si="16"/>
        <v>1526.175714323299</v>
      </c>
      <c r="AP6" s="46">
        <f t="shared" si="17"/>
        <v>1556.699228609765</v>
      </c>
      <c r="AQ6" s="46">
        <f t="shared" si="18"/>
        <v>1587.8332131819602</v>
      </c>
      <c r="AR6" s="46">
        <f t="shared" si="19"/>
        <v>1619.5898774455993</v>
      </c>
      <c r="AS6" s="46">
        <f t="shared" si="20"/>
        <v>1651.9816749945112</v>
      </c>
      <c r="AT6" s="46">
        <f t="shared" si="21"/>
        <v>1685.0213084944014</v>
      </c>
      <c r="AU6" s="47">
        <f t="shared" si="22"/>
        <v>1718.7217346642894</v>
      </c>
      <c r="AV6" s="47">
        <f t="shared" si="23"/>
        <v>1753.0961693575753</v>
      </c>
      <c r="AW6" s="47">
        <f t="shared" si="24"/>
        <v>1788.1580927447267</v>
      </c>
      <c r="AX6" s="47">
        <f t="shared" si="25"/>
        <v>1823.9212545996213</v>
      </c>
      <c r="AY6" s="47">
        <f t="shared" si="26"/>
        <v>1860.3996796916138</v>
      </c>
      <c r="AZ6" s="47">
        <f t="shared" si="27"/>
        <v>1897.607673285446</v>
      </c>
      <c r="BA6" s="47">
        <f t="shared" si="28"/>
        <v>1935.559826751155</v>
      </c>
      <c r="BB6" s="47">
        <f t="shared" si="29"/>
        <v>1974.2710232861782</v>
      </c>
      <c r="BC6" s="47">
        <f t="shared" si="30"/>
        <v>2013.7564437519018</v>
      </c>
      <c r="BD6" s="90">
        <f t="shared" si="31"/>
        <v>2054.03157262694</v>
      </c>
      <c r="BE6" s="90">
        <f t="shared" si="32"/>
        <v>2095.1122040794789</v>
      </c>
      <c r="BF6" s="90">
        <f t="shared" si="33"/>
        <v>2137.0144481610687</v>
      </c>
      <c r="BG6" s="90">
        <f t="shared" si="34"/>
        <v>2179.7547371242899</v>
      </c>
      <c r="BH6" s="90">
        <f t="shared" si="35"/>
        <v>2223.3498318667757</v>
      </c>
    </row>
    <row r="7" spans="1:65" x14ac:dyDescent="0.25">
      <c r="A7" s="44">
        <f>'2015 Pension Calculation'!E23</f>
        <v>40603.004999999983</v>
      </c>
      <c r="B7" s="45">
        <v>4</v>
      </c>
      <c r="C7" s="48"/>
      <c r="D7" s="48"/>
      <c r="E7" s="48"/>
      <c r="F7" s="46">
        <f>$A7*Variables!$C$2</f>
        <v>751.90749999999969</v>
      </c>
      <c r="G7" s="46">
        <f t="shared" ref="G7:Y7" si="38">(F7*$A$1)+F7</f>
        <v>766.94564999999966</v>
      </c>
      <c r="H7" s="46">
        <f t="shared" si="38"/>
        <v>782.28456299999971</v>
      </c>
      <c r="I7" s="46">
        <f t="shared" si="38"/>
        <v>797.93025425999974</v>
      </c>
      <c r="J7" s="46">
        <f t="shared" si="38"/>
        <v>813.88885934519976</v>
      </c>
      <c r="K7" s="46">
        <f t="shared" si="38"/>
        <v>830.16663653210378</v>
      </c>
      <c r="L7" s="46">
        <f t="shared" si="38"/>
        <v>846.7699692627458</v>
      </c>
      <c r="M7" s="46">
        <f t="shared" si="38"/>
        <v>863.70536864800067</v>
      </c>
      <c r="N7" s="46">
        <f t="shared" si="38"/>
        <v>880.97947602096065</v>
      </c>
      <c r="O7" s="46">
        <f t="shared" si="38"/>
        <v>898.5990655413799</v>
      </c>
      <c r="P7" s="46">
        <f t="shared" si="38"/>
        <v>916.57104685220747</v>
      </c>
      <c r="Q7" s="46">
        <f t="shared" si="38"/>
        <v>934.90246778925166</v>
      </c>
      <c r="R7" s="46">
        <f t="shared" si="38"/>
        <v>953.60051714503675</v>
      </c>
      <c r="S7" s="46">
        <f t="shared" si="38"/>
        <v>972.67252748793749</v>
      </c>
      <c r="T7" s="46">
        <f t="shared" si="38"/>
        <v>992.1259780376962</v>
      </c>
      <c r="U7" s="46">
        <f t="shared" si="38"/>
        <v>1011.9684975984501</v>
      </c>
      <c r="V7" s="46">
        <f t="shared" si="38"/>
        <v>1032.207867550419</v>
      </c>
      <c r="W7" s="46">
        <f t="shared" si="38"/>
        <v>1052.8520249014273</v>
      </c>
      <c r="X7" s="46">
        <f t="shared" si="38"/>
        <v>1073.9090653994558</v>
      </c>
      <c r="Y7" s="46">
        <f t="shared" si="38"/>
        <v>1095.387246707445</v>
      </c>
      <c r="Z7" s="46">
        <f t="shared" si="1"/>
        <v>1117.2949916415939</v>
      </c>
      <c r="AA7" s="46">
        <f t="shared" si="2"/>
        <v>1139.6408914744259</v>
      </c>
      <c r="AB7" s="46">
        <f t="shared" si="3"/>
        <v>1162.4337093039144</v>
      </c>
      <c r="AC7" s="46">
        <f t="shared" si="4"/>
        <v>1185.6823834899926</v>
      </c>
      <c r="AD7" s="46">
        <f t="shared" si="5"/>
        <v>1209.3960311597925</v>
      </c>
      <c r="AE7" s="46">
        <f t="shared" si="6"/>
        <v>1233.5839517829884</v>
      </c>
      <c r="AF7" s="46">
        <f t="shared" si="7"/>
        <v>1258.2556308186481</v>
      </c>
      <c r="AG7" s="46">
        <f t="shared" si="8"/>
        <v>1283.420743435021</v>
      </c>
      <c r="AH7" s="46">
        <f t="shared" si="9"/>
        <v>1309.0891583037214</v>
      </c>
      <c r="AI7" s="46">
        <f t="shared" si="10"/>
        <v>1335.2709414697958</v>
      </c>
      <c r="AJ7" s="46">
        <f t="shared" si="11"/>
        <v>1361.9763602991918</v>
      </c>
      <c r="AK7" s="46">
        <f t="shared" si="12"/>
        <v>1389.2158875051757</v>
      </c>
      <c r="AL7" s="46">
        <f t="shared" si="13"/>
        <v>1417.0002052552793</v>
      </c>
      <c r="AM7" s="46">
        <f t="shared" si="14"/>
        <v>1445.340209360385</v>
      </c>
      <c r="AN7" s="46">
        <f t="shared" si="15"/>
        <v>1474.2470135475926</v>
      </c>
      <c r="AO7" s="46">
        <f t="shared" si="16"/>
        <v>1503.7319538185445</v>
      </c>
      <c r="AP7" s="46">
        <f t="shared" si="17"/>
        <v>1533.8065928949154</v>
      </c>
      <c r="AQ7" s="46">
        <f t="shared" si="18"/>
        <v>1564.4827247528137</v>
      </c>
      <c r="AR7" s="46">
        <f t="shared" si="19"/>
        <v>1595.77237924787</v>
      </c>
      <c r="AS7" s="46">
        <f t="shared" si="20"/>
        <v>1627.6878268328273</v>
      </c>
      <c r="AT7" s="46">
        <f t="shared" si="21"/>
        <v>1660.2415833694838</v>
      </c>
      <c r="AU7" s="47">
        <f t="shared" si="22"/>
        <v>1693.4464150368735</v>
      </c>
      <c r="AV7" s="47">
        <f t="shared" si="23"/>
        <v>1727.315343337611</v>
      </c>
      <c r="AW7" s="47">
        <f t="shared" si="24"/>
        <v>1761.8616502043633</v>
      </c>
      <c r="AX7" s="47">
        <f t="shared" si="25"/>
        <v>1797.0988832084506</v>
      </c>
      <c r="AY7" s="47">
        <f t="shared" si="26"/>
        <v>1833.0408608726195</v>
      </c>
      <c r="AZ7" s="47">
        <f t="shared" si="27"/>
        <v>1869.7016780900719</v>
      </c>
      <c r="BA7" s="47">
        <f t="shared" si="28"/>
        <v>1907.0957116518734</v>
      </c>
      <c r="BB7" s="47">
        <f t="shared" si="29"/>
        <v>1945.2376258849108</v>
      </c>
      <c r="BC7" s="47">
        <f t="shared" si="30"/>
        <v>1984.142378402609</v>
      </c>
      <c r="BD7" s="90">
        <f t="shared" si="31"/>
        <v>2023.8252259706612</v>
      </c>
      <c r="BE7" s="90">
        <f t="shared" si="32"/>
        <v>2064.3017304900745</v>
      </c>
      <c r="BF7" s="90">
        <f t="shared" si="33"/>
        <v>2105.5877650998759</v>
      </c>
      <c r="BG7" s="90">
        <f t="shared" si="34"/>
        <v>2147.6995204018735</v>
      </c>
      <c r="BH7" s="90">
        <f t="shared" si="35"/>
        <v>2190.653510809911</v>
      </c>
    </row>
    <row r="8" spans="1:65" x14ac:dyDescent="0.25">
      <c r="A8" s="44">
        <f>'2015 Pension Calculation'!E24</f>
        <v>40806.020024999976</v>
      </c>
      <c r="B8" s="45">
        <v>5</v>
      </c>
      <c r="C8" s="48"/>
      <c r="D8" s="48"/>
      <c r="E8" s="48"/>
      <c r="F8" s="48"/>
      <c r="G8" s="46">
        <f>$A8*Variables!$C$2</f>
        <v>755.66703749999954</v>
      </c>
      <c r="H8" s="46">
        <f t="shared" ref="H8:Y8" si="39">(G8*$A$1)+G8</f>
        <v>770.78037824999956</v>
      </c>
      <c r="I8" s="46">
        <f t="shared" si="39"/>
        <v>786.19598581499952</v>
      </c>
      <c r="J8" s="46">
        <f t="shared" si="39"/>
        <v>801.91990553129949</v>
      </c>
      <c r="K8" s="46">
        <f t="shared" si="39"/>
        <v>817.95830364192545</v>
      </c>
      <c r="L8" s="46">
        <f t="shared" si="39"/>
        <v>834.317469714764</v>
      </c>
      <c r="M8" s="46">
        <f t="shared" si="39"/>
        <v>851.00381910905924</v>
      </c>
      <c r="N8" s="46">
        <f t="shared" si="39"/>
        <v>868.02389549124041</v>
      </c>
      <c r="O8" s="46">
        <f t="shared" si="39"/>
        <v>885.3843734010652</v>
      </c>
      <c r="P8" s="46">
        <f t="shared" si="39"/>
        <v>903.09206086908648</v>
      </c>
      <c r="Q8" s="46">
        <f t="shared" si="39"/>
        <v>921.15390208646818</v>
      </c>
      <c r="R8" s="46">
        <f t="shared" si="39"/>
        <v>939.57698012819753</v>
      </c>
      <c r="S8" s="46">
        <f t="shared" si="39"/>
        <v>958.36851973076148</v>
      </c>
      <c r="T8" s="46">
        <f t="shared" si="39"/>
        <v>977.53589012537668</v>
      </c>
      <c r="U8" s="46">
        <f t="shared" si="39"/>
        <v>997.08660792788419</v>
      </c>
      <c r="V8" s="46">
        <f t="shared" si="39"/>
        <v>1017.0283400864419</v>
      </c>
      <c r="W8" s="46">
        <f t="shared" si="39"/>
        <v>1037.3689068881706</v>
      </c>
      <c r="X8" s="46">
        <f t="shared" si="39"/>
        <v>1058.1162850259341</v>
      </c>
      <c r="Y8" s="46">
        <f t="shared" si="39"/>
        <v>1079.2786107264528</v>
      </c>
      <c r="Z8" s="46">
        <f t="shared" si="1"/>
        <v>1100.8641829409819</v>
      </c>
      <c r="AA8" s="46">
        <f t="shared" si="2"/>
        <v>1122.8814665998016</v>
      </c>
      <c r="AB8" s="46">
        <f t="shared" si="3"/>
        <v>1145.3390959317976</v>
      </c>
      <c r="AC8" s="46">
        <f t="shared" si="4"/>
        <v>1168.2458778504335</v>
      </c>
      <c r="AD8" s="46">
        <f t="shared" si="5"/>
        <v>1191.6107954074423</v>
      </c>
      <c r="AE8" s="46">
        <f t="shared" si="6"/>
        <v>1215.4430113155911</v>
      </c>
      <c r="AF8" s="46">
        <f t="shared" si="7"/>
        <v>1239.7518715419028</v>
      </c>
      <c r="AG8" s="46">
        <f t="shared" si="8"/>
        <v>1264.5469089727408</v>
      </c>
      <c r="AH8" s="46">
        <f t="shared" si="9"/>
        <v>1289.8378471521955</v>
      </c>
      <c r="AI8" s="46">
        <f t="shared" si="10"/>
        <v>1315.6346040952394</v>
      </c>
      <c r="AJ8" s="46">
        <f t="shared" si="11"/>
        <v>1341.9472961771442</v>
      </c>
      <c r="AK8" s="46">
        <f t="shared" si="12"/>
        <v>1368.7862421006871</v>
      </c>
      <c r="AL8" s="46">
        <f t="shared" si="13"/>
        <v>1396.1619669427009</v>
      </c>
      <c r="AM8" s="46">
        <f t="shared" si="14"/>
        <v>1424.085206281555</v>
      </c>
      <c r="AN8" s="46">
        <f t="shared" si="15"/>
        <v>1452.566910407186</v>
      </c>
      <c r="AO8" s="46">
        <f t="shared" si="16"/>
        <v>1481.6182486153298</v>
      </c>
      <c r="AP8" s="46">
        <f t="shared" si="17"/>
        <v>1511.2506135876363</v>
      </c>
      <c r="AQ8" s="46">
        <f t="shared" si="18"/>
        <v>1541.4756258593891</v>
      </c>
      <c r="AR8" s="46">
        <f t="shared" si="19"/>
        <v>1572.3051383765769</v>
      </c>
      <c r="AS8" s="46">
        <f t="shared" si="20"/>
        <v>1603.7512411441085</v>
      </c>
      <c r="AT8" s="46">
        <f t="shared" si="21"/>
        <v>1635.8262659669906</v>
      </c>
      <c r="AU8" s="47">
        <f t="shared" si="22"/>
        <v>1668.5427912863304</v>
      </c>
      <c r="AV8" s="47">
        <f t="shared" si="23"/>
        <v>1701.9136471120569</v>
      </c>
      <c r="AW8" s="47">
        <f t="shared" si="24"/>
        <v>1735.9519200542979</v>
      </c>
      <c r="AX8" s="47">
        <f t="shared" si="25"/>
        <v>1770.6709584553839</v>
      </c>
      <c r="AY8" s="47">
        <f t="shared" si="26"/>
        <v>1806.0843776244917</v>
      </c>
      <c r="AZ8" s="47">
        <f t="shared" si="27"/>
        <v>1842.2060651769816</v>
      </c>
      <c r="BA8" s="47">
        <f t="shared" si="28"/>
        <v>1879.0501864805212</v>
      </c>
      <c r="BB8" s="47">
        <f t="shared" si="29"/>
        <v>1916.6311902101318</v>
      </c>
      <c r="BC8" s="47">
        <f t="shared" si="30"/>
        <v>1954.9638140143345</v>
      </c>
      <c r="BD8" s="90">
        <f t="shared" si="31"/>
        <v>1994.0630902946211</v>
      </c>
      <c r="BE8" s="90">
        <f t="shared" si="32"/>
        <v>2033.9443521005135</v>
      </c>
      <c r="BF8" s="90">
        <f t="shared" si="33"/>
        <v>2074.6232391425237</v>
      </c>
      <c r="BG8" s="90">
        <f t="shared" si="34"/>
        <v>2116.1157039253744</v>
      </c>
      <c r="BH8" s="90">
        <f t="shared" si="35"/>
        <v>2158.438018003882</v>
      </c>
    </row>
    <row r="9" spans="1:65" x14ac:dyDescent="0.25">
      <c r="A9" s="44">
        <f>'2015 Pension Calculation'!E25</f>
        <v>41010.050125124973</v>
      </c>
      <c r="B9" s="45">
        <v>6</v>
      </c>
      <c r="C9" s="48"/>
      <c r="D9" s="48"/>
      <c r="E9" s="48"/>
      <c r="F9" s="48"/>
      <c r="G9" s="48"/>
      <c r="H9" s="46">
        <f>$A9*Variables!$C$2</f>
        <v>759.44537268749946</v>
      </c>
      <c r="I9" s="46">
        <f t="shared" ref="I9:Y9" si="40">(H9*$A$1)+H9</f>
        <v>774.63428014124941</v>
      </c>
      <c r="J9" s="46">
        <f t="shared" si="40"/>
        <v>790.12696574407437</v>
      </c>
      <c r="K9" s="46">
        <f t="shared" si="40"/>
        <v>805.9295050589559</v>
      </c>
      <c r="L9" s="46">
        <f t="shared" si="40"/>
        <v>822.04809516013506</v>
      </c>
      <c r="M9" s="46">
        <f t="shared" si="40"/>
        <v>838.48905706333778</v>
      </c>
      <c r="N9" s="46">
        <f t="shared" si="40"/>
        <v>855.25883820460456</v>
      </c>
      <c r="O9" s="46">
        <f t="shared" si="40"/>
        <v>872.36401496869667</v>
      </c>
      <c r="P9" s="46">
        <f t="shared" si="40"/>
        <v>889.81129526807058</v>
      </c>
      <c r="Q9" s="46">
        <f t="shared" si="40"/>
        <v>907.60752117343202</v>
      </c>
      <c r="R9" s="46">
        <f t="shared" si="40"/>
        <v>925.75967159690072</v>
      </c>
      <c r="S9" s="46">
        <f t="shared" si="40"/>
        <v>944.27486502883869</v>
      </c>
      <c r="T9" s="46">
        <f t="shared" si="40"/>
        <v>963.16036232941542</v>
      </c>
      <c r="U9" s="46">
        <f t="shared" si="40"/>
        <v>982.42356957600373</v>
      </c>
      <c r="V9" s="46">
        <f t="shared" si="40"/>
        <v>1002.0720409675238</v>
      </c>
      <c r="W9" s="46">
        <f t="shared" si="40"/>
        <v>1022.1134817868742</v>
      </c>
      <c r="X9" s="46">
        <f t="shared" si="40"/>
        <v>1042.5557514226116</v>
      </c>
      <c r="Y9" s="46">
        <f t="shared" si="40"/>
        <v>1063.4068664510639</v>
      </c>
      <c r="Z9" s="46">
        <f t="shared" si="1"/>
        <v>1084.6750037800853</v>
      </c>
      <c r="AA9" s="46">
        <f t="shared" si="2"/>
        <v>1106.3685038556869</v>
      </c>
      <c r="AB9" s="46">
        <f t="shared" si="3"/>
        <v>1128.4958739328006</v>
      </c>
      <c r="AC9" s="46">
        <f t="shared" si="4"/>
        <v>1151.0657914114565</v>
      </c>
      <c r="AD9" s="46">
        <f t="shared" si="5"/>
        <v>1174.0871072396856</v>
      </c>
      <c r="AE9" s="46">
        <f t="shared" si="6"/>
        <v>1197.5688493844793</v>
      </c>
      <c r="AF9" s="46">
        <f t="shared" si="7"/>
        <v>1221.520226372169</v>
      </c>
      <c r="AG9" s="46">
        <f t="shared" si="8"/>
        <v>1245.9506308996124</v>
      </c>
      <c r="AH9" s="46">
        <f t="shared" si="9"/>
        <v>1270.8696435176046</v>
      </c>
      <c r="AI9" s="46">
        <f t="shared" si="10"/>
        <v>1296.2870363879567</v>
      </c>
      <c r="AJ9" s="46">
        <f t="shared" si="11"/>
        <v>1322.2127771157159</v>
      </c>
      <c r="AK9" s="46">
        <f t="shared" si="12"/>
        <v>1348.6570326580302</v>
      </c>
      <c r="AL9" s="46">
        <f t="shared" si="13"/>
        <v>1375.6301733111907</v>
      </c>
      <c r="AM9" s="46">
        <f t="shared" si="14"/>
        <v>1403.1427767774144</v>
      </c>
      <c r="AN9" s="46">
        <f t="shared" si="15"/>
        <v>1431.2056323129627</v>
      </c>
      <c r="AO9" s="46">
        <f t="shared" si="16"/>
        <v>1459.8297449592219</v>
      </c>
      <c r="AP9" s="46">
        <f t="shared" si="17"/>
        <v>1489.0263398584063</v>
      </c>
      <c r="AQ9" s="46">
        <f t="shared" si="18"/>
        <v>1518.8068666555744</v>
      </c>
      <c r="AR9" s="46">
        <f t="shared" si="19"/>
        <v>1549.1830039886859</v>
      </c>
      <c r="AS9" s="46">
        <f t="shared" si="20"/>
        <v>1580.1666640684596</v>
      </c>
      <c r="AT9" s="46">
        <f t="shared" si="21"/>
        <v>1611.7699973498288</v>
      </c>
      <c r="AU9" s="47">
        <f t="shared" si="22"/>
        <v>1644.0053972968253</v>
      </c>
      <c r="AV9" s="47">
        <f t="shared" si="23"/>
        <v>1676.8855052427618</v>
      </c>
      <c r="AW9" s="47">
        <f t="shared" si="24"/>
        <v>1710.4232153476171</v>
      </c>
      <c r="AX9" s="47">
        <f t="shared" si="25"/>
        <v>1744.6316796545693</v>
      </c>
      <c r="AY9" s="47">
        <f t="shared" si="26"/>
        <v>1779.5243132476608</v>
      </c>
      <c r="AZ9" s="47">
        <f t="shared" si="27"/>
        <v>1815.1147995126139</v>
      </c>
      <c r="BA9" s="47">
        <f t="shared" si="28"/>
        <v>1851.4170955028662</v>
      </c>
      <c r="BB9" s="47">
        <f t="shared" si="29"/>
        <v>1888.4454374129236</v>
      </c>
      <c r="BC9" s="47">
        <f t="shared" si="30"/>
        <v>1926.2143461611822</v>
      </c>
      <c r="BD9" s="90">
        <f t="shared" si="31"/>
        <v>1964.7386330844058</v>
      </c>
      <c r="BE9" s="90">
        <f t="shared" si="32"/>
        <v>2004.0334057460939</v>
      </c>
      <c r="BF9" s="90">
        <f t="shared" si="33"/>
        <v>2044.1140738610156</v>
      </c>
      <c r="BG9" s="90">
        <f t="shared" si="34"/>
        <v>2084.9963553382358</v>
      </c>
      <c r="BH9" s="90">
        <f t="shared" si="35"/>
        <v>2126.6962824450006</v>
      </c>
    </row>
    <row r="10" spans="1:65" x14ac:dyDescent="0.25">
      <c r="A10" s="44">
        <f>'2015 Pension Calculation'!E26</f>
        <v>41215.100375750597</v>
      </c>
      <c r="B10" s="45">
        <v>7</v>
      </c>
      <c r="C10" s="48"/>
      <c r="D10" s="48"/>
      <c r="E10" s="48"/>
      <c r="F10" s="48"/>
      <c r="G10" s="48"/>
      <c r="H10" s="48"/>
      <c r="I10" s="46">
        <f>$A10*Variables!$C$2</f>
        <v>763.24259955093692</v>
      </c>
      <c r="J10" s="46">
        <f t="shared" ref="J10:Y10" si="41">(I10*$A$1)+I10</f>
        <v>778.50745154195567</v>
      </c>
      <c r="K10" s="46">
        <f t="shared" si="41"/>
        <v>794.07760057279484</v>
      </c>
      <c r="L10" s="46">
        <f t="shared" si="41"/>
        <v>809.95915258425077</v>
      </c>
      <c r="M10" s="46">
        <f t="shared" si="41"/>
        <v>826.15833563593583</v>
      </c>
      <c r="N10" s="46">
        <f t="shared" si="41"/>
        <v>842.68150234865459</v>
      </c>
      <c r="O10" s="46">
        <f t="shared" si="41"/>
        <v>859.53513239562767</v>
      </c>
      <c r="P10" s="46">
        <f t="shared" si="41"/>
        <v>876.7258350435402</v>
      </c>
      <c r="Q10" s="46">
        <f t="shared" si="41"/>
        <v>894.26035174441097</v>
      </c>
      <c r="R10" s="46">
        <f t="shared" si="41"/>
        <v>912.14555877929922</v>
      </c>
      <c r="S10" s="46">
        <f t="shared" si="41"/>
        <v>930.38846995488518</v>
      </c>
      <c r="T10" s="46">
        <f t="shared" si="41"/>
        <v>948.9962393539829</v>
      </c>
      <c r="U10" s="46">
        <f t="shared" si="41"/>
        <v>967.97616414106255</v>
      </c>
      <c r="V10" s="46">
        <f t="shared" si="41"/>
        <v>987.33568742388377</v>
      </c>
      <c r="W10" s="46">
        <f t="shared" si="41"/>
        <v>1007.0824011723614</v>
      </c>
      <c r="X10" s="46">
        <f t="shared" si="41"/>
        <v>1027.2240491958087</v>
      </c>
      <c r="Y10" s="46">
        <f t="shared" si="41"/>
        <v>1047.7685301797248</v>
      </c>
      <c r="Z10" s="46">
        <f t="shared" si="1"/>
        <v>1068.7239007833193</v>
      </c>
      <c r="AA10" s="46">
        <f t="shared" si="2"/>
        <v>1090.0983787989858</v>
      </c>
      <c r="AB10" s="46">
        <f t="shared" si="3"/>
        <v>1111.9003463749655</v>
      </c>
      <c r="AC10" s="46">
        <f t="shared" si="4"/>
        <v>1134.1383533024648</v>
      </c>
      <c r="AD10" s="46">
        <f t="shared" si="5"/>
        <v>1156.8211203685141</v>
      </c>
      <c r="AE10" s="46">
        <f t="shared" si="6"/>
        <v>1179.9575427758843</v>
      </c>
      <c r="AF10" s="46">
        <f t="shared" si="7"/>
        <v>1203.5566936314021</v>
      </c>
      <c r="AG10" s="46">
        <f t="shared" si="8"/>
        <v>1227.6278275040302</v>
      </c>
      <c r="AH10" s="46">
        <f t="shared" si="9"/>
        <v>1252.1803840541108</v>
      </c>
      <c r="AI10" s="46">
        <f t="shared" si="10"/>
        <v>1277.2239917351931</v>
      </c>
      <c r="AJ10" s="46">
        <f t="shared" si="11"/>
        <v>1302.768471569897</v>
      </c>
      <c r="AK10" s="46">
        <f t="shared" si="12"/>
        <v>1328.823841001295</v>
      </c>
      <c r="AL10" s="46">
        <f t="shared" si="13"/>
        <v>1355.4003178213209</v>
      </c>
      <c r="AM10" s="46">
        <f t="shared" si="14"/>
        <v>1382.5083241777472</v>
      </c>
      <c r="AN10" s="46">
        <f t="shared" si="15"/>
        <v>1410.1584906613023</v>
      </c>
      <c r="AO10" s="46">
        <f t="shared" si="16"/>
        <v>1438.3616604745282</v>
      </c>
      <c r="AP10" s="46">
        <f t="shared" si="17"/>
        <v>1467.1288936840187</v>
      </c>
      <c r="AQ10" s="46">
        <f t="shared" si="18"/>
        <v>1496.471471557699</v>
      </c>
      <c r="AR10" s="46">
        <f t="shared" si="19"/>
        <v>1526.400900988853</v>
      </c>
      <c r="AS10" s="46">
        <f t="shared" si="20"/>
        <v>1556.9289190086301</v>
      </c>
      <c r="AT10" s="46">
        <f t="shared" si="21"/>
        <v>1588.0674973888028</v>
      </c>
      <c r="AU10" s="47">
        <f t="shared" si="22"/>
        <v>1619.828847336579</v>
      </c>
      <c r="AV10" s="47">
        <f t="shared" si="23"/>
        <v>1652.2254242833105</v>
      </c>
      <c r="AW10" s="47">
        <f t="shared" si="24"/>
        <v>1685.2699327689768</v>
      </c>
      <c r="AX10" s="47">
        <f t="shared" si="25"/>
        <v>1718.9753314243562</v>
      </c>
      <c r="AY10" s="47">
        <f t="shared" si="26"/>
        <v>1753.3548380528434</v>
      </c>
      <c r="AZ10" s="47">
        <f t="shared" si="27"/>
        <v>1788.4219348139004</v>
      </c>
      <c r="BA10" s="47">
        <f t="shared" si="28"/>
        <v>1824.1903735101785</v>
      </c>
      <c r="BB10" s="47">
        <f t="shared" si="29"/>
        <v>1860.6741809803821</v>
      </c>
      <c r="BC10" s="47">
        <f t="shared" si="30"/>
        <v>1897.8876645999896</v>
      </c>
      <c r="BD10" s="90">
        <f t="shared" si="31"/>
        <v>1935.8454178919894</v>
      </c>
      <c r="BE10" s="90">
        <f t="shared" si="32"/>
        <v>1974.5623262498293</v>
      </c>
      <c r="BF10" s="90">
        <f t="shared" si="33"/>
        <v>2014.0535727748259</v>
      </c>
      <c r="BG10" s="90">
        <f t="shared" si="34"/>
        <v>2054.3346442303223</v>
      </c>
      <c r="BH10" s="90">
        <f t="shared" si="35"/>
        <v>2095.4213371149285</v>
      </c>
    </row>
    <row r="11" spans="1:65" x14ac:dyDescent="0.25">
      <c r="A11" s="44">
        <f>'2015 Pension Calculation'!E27</f>
        <v>0</v>
      </c>
      <c r="B11" s="45">
        <v>8</v>
      </c>
      <c r="C11" s="48"/>
      <c r="D11" s="48"/>
      <c r="E11" s="48"/>
      <c r="F11" s="48"/>
      <c r="G11" s="48"/>
      <c r="H11" s="48"/>
      <c r="I11" s="48"/>
      <c r="J11" s="46">
        <f>$A11*Variables!$C$2</f>
        <v>0</v>
      </c>
      <c r="K11" s="46">
        <f t="shared" ref="K11:Y11" si="42">(J11*$A$1)+J11</f>
        <v>0</v>
      </c>
      <c r="L11" s="46">
        <f t="shared" si="42"/>
        <v>0</v>
      </c>
      <c r="M11" s="46">
        <f t="shared" si="42"/>
        <v>0</v>
      </c>
      <c r="N11" s="46">
        <f t="shared" si="42"/>
        <v>0</v>
      </c>
      <c r="O11" s="46">
        <f t="shared" si="42"/>
        <v>0</v>
      </c>
      <c r="P11" s="46">
        <f t="shared" si="42"/>
        <v>0</v>
      </c>
      <c r="Q11" s="46">
        <f t="shared" si="42"/>
        <v>0</v>
      </c>
      <c r="R11" s="46">
        <f t="shared" si="42"/>
        <v>0</v>
      </c>
      <c r="S11" s="46">
        <f t="shared" si="42"/>
        <v>0</v>
      </c>
      <c r="T11" s="46">
        <f t="shared" si="42"/>
        <v>0</v>
      </c>
      <c r="U11" s="46">
        <f t="shared" si="42"/>
        <v>0</v>
      </c>
      <c r="V11" s="46">
        <f t="shared" si="42"/>
        <v>0</v>
      </c>
      <c r="W11" s="46">
        <f t="shared" si="42"/>
        <v>0</v>
      </c>
      <c r="X11" s="46">
        <f t="shared" si="42"/>
        <v>0</v>
      </c>
      <c r="Y11" s="46">
        <f t="shared" si="42"/>
        <v>0</v>
      </c>
      <c r="Z11" s="46">
        <f t="shared" si="1"/>
        <v>0</v>
      </c>
      <c r="AA11" s="46">
        <f t="shared" si="2"/>
        <v>0</v>
      </c>
      <c r="AB11" s="46">
        <f t="shared" si="3"/>
        <v>0</v>
      </c>
      <c r="AC11" s="46">
        <f t="shared" si="4"/>
        <v>0</v>
      </c>
      <c r="AD11" s="46">
        <f t="shared" si="5"/>
        <v>0</v>
      </c>
      <c r="AE11" s="46">
        <f t="shared" si="6"/>
        <v>0</v>
      </c>
      <c r="AF11" s="46">
        <f t="shared" si="7"/>
        <v>0</v>
      </c>
      <c r="AG11" s="46">
        <f t="shared" si="8"/>
        <v>0</v>
      </c>
      <c r="AH11" s="46">
        <f t="shared" si="9"/>
        <v>0</v>
      </c>
      <c r="AI11" s="46">
        <f t="shared" si="10"/>
        <v>0</v>
      </c>
      <c r="AJ11" s="46">
        <f t="shared" si="11"/>
        <v>0</v>
      </c>
      <c r="AK11" s="46">
        <f t="shared" si="12"/>
        <v>0</v>
      </c>
      <c r="AL11" s="46">
        <f t="shared" si="13"/>
        <v>0</v>
      </c>
      <c r="AM11" s="46">
        <f t="shared" si="14"/>
        <v>0</v>
      </c>
      <c r="AN11" s="46">
        <f t="shared" si="15"/>
        <v>0</v>
      </c>
      <c r="AO11" s="46">
        <f t="shared" si="16"/>
        <v>0</v>
      </c>
      <c r="AP11" s="46">
        <f t="shared" si="17"/>
        <v>0</v>
      </c>
      <c r="AQ11" s="46">
        <f t="shared" si="18"/>
        <v>0</v>
      </c>
      <c r="AR11" s="46">
        <f t="shared" si="19"/>
        <v>0</v>
      </c>
      <c r="AS11" s="46">
        <f t="shared" si="20"/>
        <v>0</v>
      </c>
      <c r="AT11" s="46">
        <f t="shared" si="21"/>
        <v>0</v>
      </c>
      <c r="AU11" s="47">
        <f t="shared" si="22"/>
        <v>0</v>
      </c>
      <c r="AV11" s="47">
        <f t="shared" si="23"/>
        <v>0</v>
      </c>
      <c r="AW11" s="47">
        <f t="shared" si="24"/>
        <v>0</v>
      </c>
      <c r="AX11" s="47">
        <f t="shared" si="25"/>
        <v>0</v>
      </c>
      <c r="AY11" s="47">
        <f t="shared" si="26"/>
        <v>0</v>
      </c>
      <c r="AZ11" s="47">
        <f t="shared" si="27"/>
        <v>0</v>
      </c>
      <c r="BA11" s="47">
        <f t="shared" si="28"/>
        <v>0</v>
      </c>
      <c r="BB11" s="47">
        <f t="shared" si="29"/>
        <v>0</v>
      </c>
      <c r="BC11" s="47">
        <f t="shared" si="30"/>
        <v>0</v>
      </c>
      <c r="BD11" s="90">
        <f t="shared" si="31"/>
        <v>0</v>
      </c>
      <c r="BE11" s="90">
        <f t="shared" si="32"/>
        <v>0</v>
      </c>
      <c r="BF11" s="90">
        <f t="shared" si="33"/>
        <v>0</v>
      </c>
      <c r="BG11" s="90">
        <f t="shared" si="34"/>
        <v>0</v>
      </c>
      <c r="BH11" s="90">
        <f t="shared" si="35"/>
        <v>0</v>
      </c>
    </row>
    <row r="12" spans="1:65" x14ac:dyDescent="0.25">
      <c r="A12" s="44">
        <f>'2015 Pension Calculation'!E28</f>
        <v>0</v>
      </c>
      <c r="B12" s="45">
        <v>9</v>
      </c>
      <c r="C12" s="48"/>
      <c r="D12" s="48"/>
      <c r="E12" s="48"/>
      <c r="F12" s="48"/>
      <c r="G12" s="48"/>
      <c r="H12" s="48"/>
      <c r="I12" s="48"/>
      <c r="J12" s="48"/>
      <c r="K12" s="46">
        <f>$A12*Variables!$C$2</f>
        <v>0</v>
      </c>
      <c r="L12" s="46">
        <f t="shared" ref="L12:Y12" si="43">(K12*$A$1)+K12</f>
        <v>0</v>
      </c>
      <c r="M12" s="46">
        <f t="shared" si="43"/>
        <v>0</v>
      </c>
      <c r="N12" s="46">
        <f t="shared" si="43"/>
        <v>0</v>
      </c>
      <c r="O12" s="46">
        <f t="shared" si="43"/>
        <v>0</v>
      </c>
      <c r="P12" s="46">
        <f t="shared" si="43"/>
        <v>0</v>
      </c>
      <c r="Q12" s="46">
        <f t="shared" si="43"/>
        <v>0</v>
      </c>
      <c r="R12" s="46">
        <f t="shared" si="43"/>
        <v>0</v>
      </c>
      <c r="S12" s="46">
        <f t="shared" si="43"/>
        <v>0</v>
      </c>
      <c r="T12" s="46">
        <f t="shared" si="43"/>
        <v>0</v>
      </c>
      <c r="U12" s="46">
        <f t="shared" si="43"/>
        <v>0</v>
      </c>
      <c r="V12" s="46">
        <f t="shared" si="43"/>
        <v>0</v>
      </c>
      <c r="W12" s="46">
        <f t="shared" si="43"/>
        <v>0</v>
      </c>
      <c r="X12" s="46">
        <f t="shared" si="43"/>
        <v>0</v>
      </c>
      <c r="Y12" s="46">
        <f t="shared" si="43"/>
        <v>0</v>
      </c>
      <c r="Z12" s="46">
        <f t="shared" si="1"/>
        <v>0</v>
      </c>
      <c r="AA12" s="46">
        <f t="shared" si="2"/>
        <v>0</v>
      </c>
      <c r="AB12" s="46">
        <f t="shared" si="3"/>
        <v>0</v>
      </c>
      <c r="AC12" s="46">
        <f t="shared" si="4"/>
        <v>0</v>
      </c>
      <c r="AD12" s="46">
        <f t="shared" si="5"/>
        <v>0</v>
      </c>
      <c r="AE12" s="46">
        <f t="shared" si="6"/>
        <v>0</v>
      </c>
      <c r="AF12" s="46">
        <f t="shared" si="7"/>
        <v>0</v>
      </c>
      <c r="AG12" s="46">
        <f t="shared" si="8"/>
        <v>0</v>
      </c>
      <c r="AH12" s="46">
        <f t="shared" si="9"/>
        <v>0</v>
      </c>
      <c r="AI12" s="46">
        <f t="shared" si="10"/>
        <v>0</v>
      </c>
      <c r="AJ12" s="46">
        <f t="shared" si="11"/>
        <v>0</v>
      </c>
      <c r="AK12" s="46">
        <f t="shared" si="12"/>
        <v>0</v>
      </c>
      <c r="AL12" s="46">
        <f t="shared" si="13"/>
        <v>0</v>
      </c>
      <c r="AM12" s="46">
        <f t="shared" si="14"/>
        <v>0</v>
      </c>
      <c r="AN12" s="46">
        <f t="shared" si="15"/>
        <v>0</v>
      </c>
      <c r="AO12" s="46">
        <f t="shared" si="16"/>
        <v>0</v>
      </c>
      <c r="AP12" s="46">
        <f t="shared" si="17"/>
        <v>0</v>
      </c>
      <c r="AQ12" s="46">
        <f t="shared" si="18"/>
        <v>0</v>
      </c>
      <c r="AR12" s="46">
        <f t="shared" si="19"/>
        <v>0</v>
      </c>
      <c r="AS12" s="46">
        <f t="shared" si="20"/>
        <v>0</v>
      </c>
      <c r="AT12" s="46">
        <f t="shared" si="21"/>
        <v>0</v>
      </c>
      <c r="AU12" s="47">
        <f t="shared" si="22"/>
        <v>0</v>
      </c>
      <c r="AV12" s="47">
        <f t="shared" si="23"/>
        <v>0</v>
      </c>
      <c r="AW12" s="47">
        <f t="shared" si="24"/>
        <v>0</v>
      </c>
      <c r="AX12" s="47">
        <f t="shared" si="25"/>
        <v>0</v>
      </c>
      <c r="AY12" s="47">
        <f t="shared" si="26"/>
        <v>0</v>
      </c>
      <c r="AZ12" s="47">
        <f t="shared" si="27"/>
        <v>0</v>
      </c>
      <c r="BA12" s="47">
        <f t="shared" si="28"/>
        <v>0</v>
      </c>
      <c r="BB12" s="47">
        <f t="shared" si="29"/>
        <v>0</v>
      </c>
      <c r="BC12" s="47">
        <f t="shared" si="30"/>
        <v>0</v>
      </c>
      <c r="BD12" s="90">
        <f t="shared" si="31"/>
        <v>0</v>
      </c>
      <c r="BE12" s="90">
        <f t="shared" si="32"/>
        <v>0</v>
      </c>
      <c r="BF12" s="90">
        <f t="shared" si="33"/>
        <v>0</v>
      </c>
      <c r="BG12" s="90">
        <f t="shared" si="34"/>
        <v>0</v>
      </c>
      <c r="BH12" s="90">
        <f t="shared" si="35"/>
        <v>0</v>
      </c>
    </row>
    <row r="13" spans="1:65" x14ac:dyDescent="0.25">
      <c r="A13" s="44">
        <f>'2015 Pension Calculation'!E29</f>
        <v>0</v>
      </c>
      <c r="B13" s="45">
        <v>10</v>
      </c>
      <c r="C13" s="48"/>
      <c r="D13" s="48"/>
      <c r="E13" s="48"/>
      <c r="F13" s="48"/>
      <c r="G13" s="48"/>
      <c r="H13" s="48"/>
      <c r="I13" s="48"/>
      <c r="J13" s="48"/>
      <c r="K13" s="48"/>
      <c r="L13" s="46">
        <f>$A13*Variables!$C$2</f>
        <v>0</v>
      </c>
      <c r="M13" s="46">
        <f t="shared" ref="M13:Y13" si="44">(L13*$A$1)+L13</f>
        <v>0</v>
      </c>
      <c r="N13" s="46">
        <f t="shared" si="44"/>
        <v>0</v>
      </c>
      <c r="O13" s="46">
        <f t="shared" si="44"/>
        <v>0</v>
      </c>
      <c r="P13" s="46">
        <f t="shared" si="44"/>
        <v>0</v>
      </c>
      <c r="Q13" s="46">
        <f t="shared" si="44"/>
        <v>0</v>
      </c>
      <c r="R13" s="46">
        <f t="shared" si="44"/>
        <v>0</v>
      </c>
      <c r="S13" s="46">
        <f t="shared" si="44"/>
        <v>0</v>
      </c>
      <c r="T13" s="46">
        <f t="shared" si="44"/>
        <v>0</v>
      </c>
      <c r="U13" s="46">
        <f t="shared" si="44"/>
        <v>0</v>
      </c>
      <c r="V13" s="46">
        <f t="shared" si="44"/>
        <v>0</v>
      </c>
      <c r="W13" s="46">
        <f t="shared" si="44"/>
        <v>0</v>
      </c>
      <c r="X13" s="46">
        <f t="shared" si="44"/>
        <v>0</v>
      </c>
      <c r="Y13" s="46">
        <f t="shared" si="44"/>
        <v>0</v>
      </c>
      <c r="Z13" s="46">
        <f t="shared" si="1"/>
        <v>0</v>
      </c>
      <c r="AA13" s="46">
        <f t="shared" si="2"/>
        <v>0</v>
      </c>
      <c r="AB13" s="46">
        <f t="shared" si="3"/>
        <v>0</v>
      </c>
      <c r="AC13" s="46">
        <f t="shared" si="4"/>
        <v>0</v>
      </c>
      <c r="AD13" s="46">
        <f t="shared" si="5"/>
        <v>0</v>
      </c>
      <c r="AE13" s="46">
        <f t="shared" si="6"/>
        <v>0</v>
      </c>
      <c r="AF13" s="46">
        <f t="shared" si="7"/>
        <v>0</v>
      </c>
      <c r="AG13" s="46">
        <f t="shared" si="8"/>
        <v>0</v>
      </c>
      <c r="AH13" s="46">
        <f t="shared" si="9"/>
        <v>0</v>
      </c>
      <c r="AI13" s="46">
        <f t="shared" si="10"/>
        <v>0</v>
      </c>
      <c r="AJ13" s="46">
        <f t="shared" si="11"/>
        <v>0</v>
      </c>
      <c r="AK13" s="46">
        <f t="shared" si="12"/>
        <v>0</v>
      </c>
      <c r="AL13" s="46">
        <f t="shared" si="13"/>
        <v>0</v>
      </c>
      <c r="AM13" s="46">
        <f t="shared" si="14"/>
        <v>0</v>
      </c>
      <c r="AN13" s="46">
        <f t="shared" si="15"/>
        <v>0</v>
      </c>
      <c r="AO13" s="46">
        <f t="shared" si="16"/>
        <v>0</v>
      </c>
      <c r="AP13" s="46">
        <f t="shared" si="17"/>
        <v>0</v>
      </c>
      <c r="AQ13" s="46">
        <f t="shared" si="18"/>
        <v>0</v>
      </c>
      <c r="AR13" s="46">
        <f t="shared" si="19"/>
        <v>0</v>
      </c>
      <c r="AS13" s="46">
        <f t="shared" si="20"/>
        <v>0</v>
      </c>
      <c r="AT13" s="46">
        <f t="shared" si="21"/>
        <v>0</v>
      </c>
      <c r="AU13" s="47">
        <f t="shared" si="22"/>
        <v>0</v>
      </c>
      <c r="AV13" s="47">
        <f t="shared" si="23"/>
        <v>0</v>
      </c>
      <c r="AW13" s="47">
        <f t="shared" si="24"/>
        <v>0</v>
      </c>
      <c r="AX13" s="47">
        <f t="shared" si="25"/>
        <v>0</v>
      </c>
      <c r="AY13" s="47">
        <f t="shared" si="26"/>
        <v>0</v>
      </c>
      <c r="AZ13" s="47">
        <f t="shared" si="27"/>
        <v>0</v>
      </c>
      <c r="BA13" s="47">
        <f t="shared" si="28"/>
        <v>0</v>
      </c>
      <c r="BB13" s="47">
        <f t="shared" si="29"/>
        <v>0</v>
      </c>
      <c r="BC13" s="47">
        <f t="shared" si="30"/>
        <v>0</v>
      </c>
      <c r="BD13" s="90">
        <f t="shared" si="31"/>
        <v>0</v>
      </c>
      <c r="BE13" s="90">
        <f t="shared" si="32"/>
        <v>0</v>
      </c>
      <c r="BF13" s="90">
        <f t="shared" si="33"/>
        <v>0</v>
      </c>
      <c r="BG13" s="90">
        <f t="shared" si="34"/>
        <v>0</v>
      </c>
      <c r="BH13" s="90">
        <f t="shared" si="35"/>
        <v>0</v>
      </c>
    </row>
    <row r="14" spans="1:65" x14ac:dyDescent="0.25">
      <c r="A14" s="44">
        <f>'2015 Pension Calculation'!E30</f>
        <v>0</v>
      </c>
      <c r="B14" s="45">
        <v>11</v>
      </c>
      <c r="C14" s="48"/>
      <c r="D14" s="48"/>
      <c r="E14" s="48"/>
      <c r="F14" s="48"/>
      <c r="G14" s="48"/>
      <c r="H14" s="48"/>
      <c r="I14" s="48"/>
      <c r="J14" s="48"/>
      <c r="K14" s="48"/>
      <c r="L14" s="48"/>
      <c r="M14" s="46">
        <f>$A14*Variables!$C$2</f>
        <v>0</v>
      </c>
      <c r="N14" s="46">
        <f t="shared" ref="N14:Y14" si="45">(M14*$A$1)+M14</f>
        <v>0</v>
      </c>
      <c r="O14" s="46">
        <f t="shared" si="45"/>
        <v>0</v>
      </c>
      <c r="P14" s="46">
        <f t="shared" si="45"/>
        <v>0</v>
      </c>
      <c r="Q14" s="46">
        <f t="shared" si="45"/>
        <v>0</v>
      </c>
      <c r="R14" s="46">
        <f t="shared" si="45"/>
        <v>0</v>
      </c>
      <c r="S14" s="46">
        <f t="shared" si="45"/>
        <v>0</v>
      </c>
      <c r="T14" s="46">
        <f t="shared" si="45"/>
        <v>0</v>
      </c>
      <c r="U14" s="46">
        <f t="shared" si="45"/>
        <v>0</v>
      </c>
      <c r="V14" s="46">
        <f t="shared" si="45"/>
        <v>0</v>
      </c>
      <c r="W14" s="46">
        <f t="shared" si="45"/>
        <v>0</v>
      </c>
      <c r="X14" s="46">
        <f t="shared" si="45"/>
        <v>0</v>
      </c>
      <c r="Y14" s="46">
        <f t="shared" si="45"/>
        <v>0</v>
      </c>
      <c r="Z14" s="46">
        <f t="shared" si="1"/>
        <v>0</v>
      </c>
      <c r="AA14" s="46">
        <f t="shared" si="2"/>
        <v>0</v>
      </c>
      <c r="AB14" s="46">
        <f t="shared" si="3"/>
        <v>0</v>
      </c>
      <c r="AC14" s="46">
        <f t="shared" si="4"/>
        <v>0</v>
      </c>
      <c r="AD14" s="46">
        <f t="shared" si="5"/>
        <v>0</v>
      </c>
      <c r="AE14" s="46">
        <f t="shared" si="6"/>
        <v>0</v>
      </c>
      <c r="AF14" s="46">
        <f t="shared" si="7"/>
        <v>0</v>
      </c>
      <c r="AG14" s="46">
        <f t="shared" si="8"/>
        <v>0</v>
      </c>
      <c r="AH14" s="46">
        <f t="shared" si="9"/>
        <v>0</v>
      </c>
      <c r="AI14" s="46">
        <f t="shared" si="10"/>
        <v>0</v>
      </c>
      <c r="AJ14" s="46">
        <f t="shared" si="11"/>
        <v>0</v>
      </c>
      <c r="AK14" s="46">
        <f t="shared" si="12"/>
        <v>0</v>
      </c>
      <c r="AL14" s="46">
        <f t="shared" si="13"/>
        <v>0</v>
      </c>
      <c r="AM14" s="46">
        <f t="shared" si="14"/>
        <v>0</v>
      </c>
      <c r="AN14" s="46">
        <f t="shared" si="15"/>
        <v>0</v>
      </c>
      <c r="AO14" s="46">
        <f t="shared" si="16"/>
        <v>0</v>
      </c>
      <c r="AP14" s="46">
        <f t="shared" si="17"/>
        <v>0</v>
      </c>
      <c r="AQ14" s="46">
        <f t="shared" si="18"/>
        <v>0</v>
      </c>
      <c r="AR14" s="46">
        <f t="shared" si="19"/>
        <v>0</v>
      </c>
      <c r="AS14" s="46">
        <f t="shared" si="20"/>
        <v>0</v>
      </c>
      <c r="AT14" s="46">
        <f t="shared" si="21"/>
        <v>0</v>
      </c>
      <c r="AU14" s="47">
        <f t="shared" si="22"/>
        <v>0</v>
      </c>
      <c r="AV14" s="47">
        <f t="shared" si="23"/>
        <v>0</v>
      </c>
      <c r="AW14" s="47">
        <f t="shared" si="24"/>
        <v>0</v>
      </c>
      <c r="AX14" s="47">
        <f t="shared" si="25"/>
        <v>0</v>
      </c>
      <c r="AY14" s="47">
        <f t="shared" si="26"/>
        <v>0</v>
      </c>
      <c r="AZ14" s="47">
        <f t="shared" si="27"/>
        <v>0</v>
      </c>
      <c r="BA14" s="47">
        <f t="shared" si="28"/>
        <v>0</v>
      </c>
      <c r="BB14" s="47">
        <f t="shared" si="29"/>
        <v>0</v>
      </c>
      <c r="BC14" s="47">
        <f t="shared" si="30"/>
        <v>0</v>
      </c>
      <c r="BD14" s="90">
        <f t="shared" si="31"/>
        <v>0</v>
      </c>
      <c r="BE14" s="90">
        <f t="shared" si="32"/>
        <v>0</v>
      </c>
      <c r="BF14" s="90">
        <f t="shared" si="33"/>
        <v>0</v>
      </c>
      <c r="BG14" s="90">
        <f t="shared" si="34"/>
        <v>0</v>
      </c>
      <c r="BH14" s="90">
        <f t="shared" si="35"/>
        <v>0</v>
      </c>
    </row>
    <row r="15" spans="1:65" x14ac:dyDescent="0.25">
      <c r="A15" s="44">
        <f>'2015 Pension Calculation'!E31</f>
        <v>0</v>
      </c>
      <c r="B15" s="45">
        <v>12</v>
      </c>
      <c r="C15" s="48"/>
      <c r="D15" s="48"/>
      <c r="E15" s="48"/>
      <c r="F15" s="48"/>
      <c r="G15" s="48"/>
      <c r="H15" s="48"/>
      <c r="I15" s="48"/>
      <c r="J15" s="48"/>
      <c r="K15" s="48"/>
      <c r="L15" s="48"/>
      <c r="M15" s="48"/>
      <c r="N15" s="46">
        <f>$A15*Variables!$C$2</f>
        <v>0</v>
      </c>
      <c r="O15" s="46">
        <f t="shared" ref="O15:Y15" si="46">(N15*$A$1)+N15</f>
        <v>0</v>
      </c>
      <c r="P15" s="46">
        <f t="shared" si="46"/>
        <v>0</v>
      </c>
      <c r="Q15" s="46">
        <f t="shared" si="46"/>
        <v>0</v>
      </c>
      <c r="R15" s="46">
        <f t="shared" si="46"/>
        <v>0</v>
      </c>
      <c r="S15" s="46">
        <f t="shared" si="46"/>
        <v>0</v>
      </c>
      <c r="T15" s="46">
        <f t="shared" si="46"/>
        <v>0</v>
      </c>
      <c r="U15" s="46">
        <f t="shared" si="46"/>
        <v>0</v>
      </c>
      <c r="V15" s="46">
        <f t="shared" si="46"/>
        <v>0</v>
      </c>
      <c r="W15" s="46">
        <f t="shared" si="46"/>
        <v>0</v>
      </c>
      <c r="X15" s="46">
        <f t="shared" si="46"/>
        <v>0</v>
      </c>
      <c r="Y15" s="46">
        <f t="shared" si="46"/>
        <v>0</v>
      </c>
      <c r="Z15" s="46">
        <f t="shared" si="1"/>
        <v>0</v>
      </c>
      <c r="AA15" s="46">
        <f t="shared" si="2"/>
        <v>0</v>
      </c>
      <c r="AB15" s="46">
        <f t="shared" si="3"/>
        <v>0</v>
      </c>
      <c r="AC15" s="46">
        <f t="shared" si="4"/>
        <v>0</v>
      </c>
      <c r="AD15" s="46">
        <f t="shared" si="5"/>
        <v>0</v>
      </c>
      <c r="AE15" s="46">
        <f t="shared" si="6"/>
        <v>0</v>
      </c>
      <c r="AF15" s="46">
        <f t="shared" si="7"/>
        <v>0</v>
      </c>
      <c r="AG15" s="46">
        <f t="shared" si="8"/>
        <v>0</v>
      </c>
      <c r="AH15" s="46">
        <f t="shared" si="9"/>
        <v>0</v>
      </c>
      <c r="AI15" s="46">
        <f t="shared" si="10"/>
        <v>0</v>
      </c>
      <c r="AJ15" s="46">
        <f t="shared" si="11"/>
        <v>0</v>
      </c>
      <c r="AK15" s="46">
        <f t="shared" si="12"/>
        <v>0</v>
      </c>
      <c r="AL15" s="46">
        <f t="shared" si="13"/>
        <v>0</v>
      </c>
      <c r="AM15" s="46">
        <f t="shared" si="14"/>
        <v>0</v>
      </c>
      <c r="AN15" s="46">
        <f t="shared" si="15"/>
        <v>0</v>
      </c>
      <c r="AO15" s="46">
        <f t="shared" si="16"/>
        <v>0</v>
      </c>
      <c r="AP15" s="46">
        <f t="shared" si="17"/>
        <v>0</v>
      </c>
      <c r="AQ15" s="46">
        <f t="shared" si="18"/>
        <v>0</v>
      </c>
      <c r="AR15" s="46">
        <f t="shared" si="19"/>
        <v>0</v>
      </c>
      <c r="AS15" s="46">
        <f t="shared" si="20"/>
        <v>0</v>
      </c>
      <c r="AT15" s="46">
        <f t="shared" si="21"/>
        <v>0</v>
      </c>
      <c r="AU15" s="47">
        <f t="shared" si="22"/>
        <v>0</v>
      </c>
      <c r="AV15" s="47">
        <f t="shared" si="23"/>
        <v>0</v>
      </c>
      <c r="AW15" s="47">
        <f t="shared" si="24"/>
        <v>0</v>
      </c>
      <c r="AX15" s="47">
        <f t="shared" si="25"/>
        <v>0</v>
      </c>
      <c r="AY15" s="47">
        <f t="shared" si="26"/>
        <v>0</v>
      </c>
      <c r="AZ15" s="47">
        <f t="shared" si="27"/>
        <v>0</v>
      </c>
      <c r="BA15" s="47">
        <f t="shared" si="28"/>
        <v>0</v>
      </c>
      <c r="BB15" s="47">
        <f t="shared" si="29"/>
        <v>0</v>
      </c>
      <c r="BC15" s="47">
        <f t="shared" si="30"/>
        <v>0</v>
      </c>
      <c r="BD15" s="90">
        <f t="shared" si="31"/>
        <v>0</v>
      </c>
      <c r="BE15" s="90">
        <f t="shared" si="32"/>
        <v>0</v>
      </c>
      <c r="BF15" s="90">
        <f t="shared" si="33"/>
        <v>0</v>
      </c>
      <c r="BG15" s="90">
        <f t="shared" si="34"/>
        <v>0</v>
      </c>
      <c r="BH15" s="90">
        <f t="shared" si="35"/>
        <v>0</v>
      </c>
    </row>
    <row r="16" spans="1:65" x14ac:dyDescent="0.25">
      <c r="A16" s="44">
        <f>'2015 Pension Calculation'!E32</f>
        <v>0</v>
      </c>
      <c r="B16" s="45">
        <v>13</v>
      </c>
      <c r="C16" s="48"/>
      <c r="D16" s="48"/>
      <c r="E16" s="48"/>
      <c r="F16" s="48"/>
      <c r="G16" s="48"/>
      <c r="H16" s="48"/>
      <c r="I16" s="48"/>
      <c r="J16" s="48"/>
      <c r="K16" s="48"/>
      <c r="L16" s="48"/>
      <c r="M16" s="48"/>
      <c r="N16" s="48"/>
      <c r="O16" s="46">
        <f>$A16*Variables!$C$2</f>
        <v>0</v>
      </c>
      <c r="P16" s="46">
        <f t="shared" ref="P16:Y16" si="47">(O16*$A$1)+O16</f>
        <v>0</v>
      </c>
      <c r="Q16" s="46">
        <f t="shared" si="47"/>
        <v>0</v>
      </c>
      <c r="R16" s="46">
        <f t="shared" si="47"/>
        <v>0</v>
      </c>
      <c r="S16" s="46">
        <f t="shared" si="47"/>
        <v>0</v>
      </c>
      <c r="T16" s="46">
        <f t="shared" si="47"/>
        <v>0</v>
      </c>
      <c r="U16" s="46">
        <f t="shared" si="47"/>
        <v>0</v>
      </c>
      <c r="V16" s="46">
        <f t="shared" si="47"/>
        <v>0</v>
      </c>
      <c r="W16" s="46">
        <f t="shared" si="47"/>
        <v>0</v>
      </c>
      <c r="X16" s="46">
        <f t="shared" si="47"/>
        <v>0</v>
      </c>
      <c r="Y16" s="46">
        <f t="shared" si="47"/>
        <v>0</v>
      </c>
      <c r="Z16" s="46">
        <f t="shared" si="1"/>
        <v>0</v>
      </c>
      <c r="AA16" s="46">
        <f t="shared" si="2"/>
        <v>0</v>
      </c>
      <c r="AB16" s="46">
        <f t="shared" si="3"/>
        <v>0</v>
      </c>
      <c r="AC16" s="46">
        <f t="shared" si="4"/>
        <v>0</v>
      </c>
      <c r="AD16" s="46">
        <f t="shared" si="5"/>
        <v>0</v>
      </c>
      <c r="AE16" s="46">
        <f t="shared" si="6"/>
        <v>0</v>
      </c>
      <c r="AF16" s="46">
        <f t="shared" si="7"/>
        <v>0</v>
      </c>
      <c r="AG16" s="46">
        <f t="shared" si="8"/>
        <v>0</v>
      </c>
      <c r="AH16" s="46">
        <f t="shared" si="9"/>
        <v>0</v>
      </c>
      <c r="AI16" s="46">
        <f t="shared" si="10"/>
        <v>0</v>
      </c>
      <c r="AJ16" s="46">
        <f t="shared" si="11"/>
        <v>0</v>
      </c>
      <c r="AK16" s="46">
        <f t="shared" si="12"/>
        <v>0</v>
      </c>
      <c r="AL16" s="46">
        <f t="shared" si="13"/>
        <v>0</v>
      </c>
      <c r="AM16" s="46">
        <f t="shared" si="14"/>
        <v>0</v>
      </c>
      <c r="AN16" s="46">
        <f t="shared" si="15"/>
        <v>0</v>
      </c>
      <c r="AO16" s="46">
        <f t="shared" si="16"/>
        <v>0</v>
      </c>
      <c r="AP16" s="46">
        <f t="shared" si="17"/>
        <v>0</v>
      </c>
      <c r="AQ16" s="46">
        <f t="shared" si="18"/>
        <v>0</v>
      </c>
      <c r="AR16" s="46">
        <f t="shared" si="19"/>
        <v>0</v>
      </c>
      <c r="AS16" s="46">
        <f t="shared" si="20"/>
        <v>0</v>
      </c>
      <c r="AT16" s="46">
        <f t="shared" si="21"/>
        <v>0</v>
      </c>
      <c r="AU16" s="47">
        <f t="shared" si="22"/>
        <v>0</v>
      </c>
      <c r="AV16" s="47">
        <f t="shared" si="23"/>
        <v>0</v>
      </c>
      <c r="AW16" s="47">
        <f t="shared" si="24"/>
        <v>0</v>
      </c>
      <c r="AX16" s="47">
        <f t="shared" si="25"/>
        <v>0</v>
      </c>
      <c r="AY16" s="47">
        <f t="shared" si="26"/>
        <v>0</v>
      </c>
      <c r="AZ16" s="47">
        <f t="shared" si="27"/>
        <v>0</v>
      </c>
      <c r="BA16" s="47">
        <f t="shared" si="28"/>
        <v>0</v>
      </c>
      <c r="BB16" s="47">
        <f t="shared" si="29"/>
        <v>0</v>
      </c>
      <c r="BC16" s="47">
        <f t="shared" si="30"/>
        <v>0</v>
      </c>
      <c r="BD16" s="90">
        <f t="shared" si="31"/>
        <v>0</v>
      </c>
      <c r="BE16" s="90">
        <f t="shared" si="32"/>
        <v>0</v>
      </c>
      <c r="BF16" s="90">
        <f t="shared" si="33"/>
        <v>0</v>
      </c>
      <c r="BG16" s="90">
        <f t="shared" si="34"/>
        <v>0</v>
      </c>
      <c r="BH16" s="90">
        <f t="shared" si="35"/>
        <v>0</v>
      </c>
    </row>
    <row r="17" spans="1:60" x14ac:dyDescent="0.25">
      <c r="A17" s="44">
        <f>'2015 Pension Calculation'!E33</f>
        <v>0</v>
      </c>
      <c r="B17" s="45">
        <v>14</v>
      </c>
      <c r="C17" s="48"/>
      <c r="D17" s="48"/>
      <c r="E17" s="48"/>
      <c r="F17" s="48"/>
      <c r="G17" s="48"/>
      <c r="H17" s="48"/>
      <c r="I17" s="48"/>
      <c r="J17" s="48"/>
      <c r="K17" s="48"/>
      <c r="L17" s="48"/>
      <c r="M17" s="48"/>
      <c r="N17" s="48"/>
      <c r="O17" s="48"/>
      <c r="P17" s="46">
        <f>$A17*Variables!$C$2</f>
        <v>0</v>
      </c>
      <c r="Q17" s="46">
        <f t="shared" ref="Q17:Y17" si="48">(P17*$A$1)+P17</f>
        <v>0</v>
      </c>
      <c r="R17" s="46">
        <f t="shared" si="48"/>
        <v>0</v>
      </c>
      <c r="S17" s="46">
        <f t="shared" si="48"/>
        <v>0</v>
      </c>
      <c r="T17" s="46">
        <f t="shared" si="48"/>
        <v>0</v>
      </c>
      <c r="U17" s="46">
        <f t="shared" si="48"/>
        <v>0</v>
      </c>
      <c r="V17" s="46">
        <f t="shared" si="48"/>
        <v>0</v>
      </c>
      <c r="W17" s="46">
        <f t="shared" si="48"/>
        <v>0</v>
      </c>
      <c r="X17" s="46">
        <f t="shared" si="48"/>
        <v>0</v>
      </c>
      <c r="Y17" s="46">
        <f t="shared" si="48"/>
        <v>0</v>
      </c>
      <c r="Z17" s="46">
        <f t="shared" si="1"/>
        <v>0</v>
      </c>
      <c r="AA17" s="46">
        <f t="shared" si="2"/>
        <v>0</v>
      </c>
      <c r="AB17" s="46">
        <f t="shared" si="3"/>
        <v>0</v>
      </c>
      <c r="AC17" s="46">
        <f t="shared" si="4"/>
        <v>0</v>
      </c>
      <c r="AD17" s="46">
        <f t="shared" si="5"/>
        <v>0</v>
      </c>
      <c r="AE17" s="46">
        <f t="shared" si="6"/>
        <v>0</v>
      </c>
      <c r="AF17" s="46">
        <f t="shared" si="7"/>
        <v>0</v>
      </c>
      <c r="AG17" s="46">
        <f t="shared" si="8"/>
        <v>0</v>
      </c>
      <c r="AH17" s="46">
        <f t="shared" si="9"/>
        <v>0</v>
      </c>
      <c r="AI17" s="46">
        <f t="shared" si="10"/>
        <v>0</v>
      </c>
      <c r="AJ17" s="46">
        <f t="shared" si="11"/>
        <v>0</v>
      </c>
      <c r="AK17" s="46">
        <f t="shared" si="12"/>
        <v>0</v>
      </c>
      <c r="AL17" s="46">
        <f t="shared" si="13"/>
        <v>0</v>
      </c>
      <c r="AM17" s="46">
        <f t="shared" si="14"/>
        <v>0</v>
      </c>
      <c r="AN17" s="46">
        <f t="shared" si="15"/>
        <v>0</v>
      </c>
      <c r="AO17" s="46">
        <f t="shared" si="16"/>
        <v>0</v>
      </c>
      <c r="AP17" s="46">
        <f t="shared" si="17"/>
        <v>0</v>
      </c>
      <c r="AQ17" s="46">
        <f t="shared" si="18"/>
        <v>0</v>
      </c>
      <c r="AR17" s="46">
        <f t="shared" si="19"/>
        <v>0</v>
      </c>
      <c r="AS17" s="46">
        <f t="shared" si="20"/>
        <v>0</v>
      </c>
      <c r="AT17" s="46">
        <f t="shared" si="21"/>
        <v>0</v>
      </c>
      <c r="AU17" s="47">
        <f t="shared" si="22"/>
        <v>0</v>
      </c>
      <c r="AV17" s="47">
        <f t="shared" si="23"/>
        <v>0</v>
      </c>
      <c r="AW17" s="47">
        <f t="shared" si="24"/>
        <v>0</v>
      </c>
      <c r="AX17" s="47">
        <f t="shared" si="25"/>
        <v>0</v>
      </c>
      <c r="AY17" s="47">
        <f t="shared" si="26"/>
        <v>0</v>
      </c>
      <c r="AZ17" s="47">
        <f t="shared" si="27"/>
        <v>0</v>
      </c>
      <c r="BA17" s="47">
        <f t="shared" si="28"/>
        <v>0</v>
      </c>
      <c r="BB17" s="47">
        <f t="shared" si="29"/>
        <v>0</v>
      </c>
      <c r="BC17" s="47">
        <f t="shared" si="30"/>
        <v>0</v>
      </c>
      <c r="BD17" s="90">
        <f t="shared" si="31"/>
        <v>0</v>
      </c>
      <c r="BE17" s="90">
        <f t="shared" si="32"/>
        <v>0</v>
      </c>
      <c r="BF17" s="90">
        <f t="shared" si="33"/>
        <v>0</v>
      </c>
      <c r="BG17" s="90">
        <f t="shared" si="34"/>
        <v>0</v>
      </c>
      <c r="BH17" s="90">
        <f t="shared" si="35"/>
        <v>0</v>
      </c>
    </row>
    <row r="18" spans="1:60" x14ac:dyDescent="0.25">
      <c r="A18" s="44">
        <f>'2015 Pension Calculation'!E34</f>
        <v>0</v>
      </c>
      <c r="B18" s="45">
        <v>15</v>
      </c>
      <c r="C18" s="48"/>
      <c r="D18" s="48"/>
      <c r="E18" s="48"/>
      <c r="F18" s="48"/>
      <c r="G18" s="48"/>
      <c r="H18" s="48"/>
      <c r="I18" s="48"/>
      <c r="J18" s="48"/>
      <c r="K18" s="48"/>
      <c r="L18" s="48"/>
      <c r="M18" s="48"/>
      <c r="N18" s="48"/>
      <c r="O18" s="48"/>
      <c r="P18" s="48"/>
      <c r="Q18" s="46">
        <f>$A18*Variables!$C$2</f>
        <v>0</v>
      </c>
      <c r="R18" s="46">
        <f t="shared" ref="R18:Y18" si="49">(Q18*$A$1)+Q18</f>
        <v>0</v>
      </c>
      <c r="S18" s="46">
        <f t="shared" si="49"/>
        <v>0</v>
      </c>
      <c r="T18" s="46">
        <f t="shared" si="49"/>
        <v>0</v>
      </c>
      <c r="U18" s="46">
        <f t="shared" si="49"/>
        <v>0</v>
      </c>
      <c r="V18" s="46">
        <f t="shared" si="49"/>
        <v>0</v>
      </c>
      <c r="W18" s="46">
        <f t="shared" si="49"/>
        <v>0</v>
      </c>
      <c r="X18" s="46">
        <f t="shared" si="49"/>
        <v>0</v>
      </c>
      <c r="Y18" s="46">
        <f t="shared" si="49"/>
        <v>0</v>
      </c>
      <c r="Z18" s="46">
        <f t="shared" si="1"/>
        <v>0</v>
      </c>
      <c r="AA18" s="46">
        <f t="shared" si="2"/>
        <v>0</v>
      </c>
      <c r="AB18" s="46">
        <f t="shared" si="3"/>
        <v>0</v>
      </c>
      <c r="AC18" s="46">
        <f t="shared" si="4"/>
        <v>0</v>
      </c>
      <c r="AD18" s="46">
        <f t="shared" si="5"/>
        <v>0</v>
      </c>
      <c r="AE18" s="46">
        <f t="shared" si="6"/>
        <v>0</v>
      </c>
      <c r="AF18" s="46">
        <f t="shared" si="7"/>
        <v>0</v>
      </c>
      <c r="AG18" s="46">
        <f t="shared" si="8"/>
        <v>0</v>
      </c>
      <c r="AH18" s="46">
        <f t="shared" si="9"/>
        <v>0</v>
      </c>
      <c r="AI18" s="46">
        <f t="shared" si="10"/>
        <v>0</v>
      </c>
      <c r="AJ18" s="46">
        <f t="shared" si="11"/>
        <v>0</v>
      </c>
      <c r="AK18" s="46">
        <f t="shared" si="12"/>
        <v>0</v>
      </c>
      <c r="AL18" s="46">
        <f t="shared" si="13"/>
        <v>0</v>
      </c>
      <c r="AM18" s="46">
        <f t="shared" si="14"/>
        <v>0</v>
      </c>
      <c r="AN18" s="46">
        <f t="shared" si="15"/>
        <v>0</v>
      </c>
      <c r="AO18" s="46">
        <f t="shared" si="16"/>
        <v>0</v>
      </c>
      <c r="AP18" s="46">
        <f t="shared" si="17"/>
        <v>0</v>
      </c>
      <c r="AQ18" s="46">
        <f t="shared" si="18"/>
        <v>0</v>
      </c>
      <c r="AR18" s="46">
        <f t="shared" si="19"/>
        <v>0</v>
      </c>
      <c r="AS18" s="46">
        <f t="shared" si="20"/>
        <v>0</v>
      </c>
      <c r="AT18" s="46">
        <f t="shared" si="21"/>
        <v>0</v>
      </c>
      <c r="AU18" s="47">
        <f t="shared" si="22"/>
        <v>0</v>
      </c>
      <c r="AV18" s="47">
        <f t="shared" si="23"/>
        <v>0</v>
      </c>
      <c r="AW18" s="47">
        <f t="shared" si="24"/>
        <v>0</v>
      </c>
      <c r="AX18" s="47">
        <f t="shared" si="25"/>
        <v>0</v>
      </c>
      <c r="AY18" s="47">
        <f t="shared" si="26"/>
        <v>0</v>
      </c>
      <c r="AZ18" s="47">
        <f t="shared" si="27"/>
        <v>0</v>
      </c>
      <c r="BA18" s="47">
        <f t="shared" si="28"/>
        <v>0</v>
      </c>
      <c r="BB18" s="47">
        <f t="shared" si="29"/>
        <v>0</v>
      </c>
      <c r="BC18" s="47">
        <f t="shared" si="30"/>
        <v>0</v>
      </c>
      <c r="BD18" s="90">
        <f t="shared" si="31"/>
        <v>0</v>
      </c>
      <c r="BE18" s="90">
        <f t="shared" si="32"/>
        <v>0</v>
      </c>
      <c r="BF18" s="90">
        <f t="shared" si="33"/>
        <v>0</v>
      </c>
      <c r="BG18" s="90">
        <f t="shared" si="34"/>
        <v>0</v>
      </c>
      <c r="BH18" s="90">
        <f t="shared" si="35"/>
        <v>0</v>
      </c>
    </row>
    <row r="19" spans="1:60" x14ac:dyDescent="0.25">
      <c r="A19" s="44">
        <f>'2015 Pension Calculation'!E35</f>
        <v>0</v>
      </c>
      <c r="B19" s="45">
        <v>16</v>
      </c>
      <c r="C19" s="48"/>
      <c r="D19" s="48"/>
      <c r="E19" s="48"/>
      <c r="F19" s="48"/>
      <c r="G19" s="48"/>
      <c r="H19" s="48"/>
      <c r="I19" s="48"/>
      <c r="J19" s="48"/>
      <c r="K19" s="48"/>
      <c r="L19" s="48"/>
      <c r="M19" s="48"/>
      <c r="N19" s="48"/>
      <c r="O19" s="48"/>
      <c r="P19" s="48"/>
      <c r="Q19" s="48"/>
      <c r="R19" s="46">
        <f>$A19*Variables!$C$2</f>
        <v>0</v>
      </c>
      <c r="S19" s="46">
        <f t="shared" ref="S19:Y19" si="50">(R19*$A$1)+R19</f>
        <v>0</v>
      </c>
      <c r="T19" s="46">
        <f t="shared" si="50"/>
        <v>0</v>
      </c>
      <c r="U19" s="46">
        <f t="shared" si="50"/>
        <v>0</v>
      </c>
      <c r="V19" s="46">
        <f t="shared" si="50"/>
        <v>0</v>
      </c>
      <c r="W19" s="46">
        <f t="shared" si="50"/>
        <v>0</v>
      </c>
      <c r="X19" s="46">
        <f t="shared" si="50"/>
        <v>0</v>
      </c>
      <c r="Y19" s="46">
        <f t="shared" si="50"/>
        <v>0</v>
      </c>
      <c r="Z19" s="46">
        <f t="shared" si="1"/>
        <v>0</v>
      </c>
      <c r="AA19" s="46">
        <f t="shared" si="2"/>
        <v>0</v>
      </c>
      <c r="AB19" s="46">
        <f t="shared" si="3"/>
        <v>0</v>
      </c>
      <c r="AC19" s="46">
        <f t="shared" si="4"/>
        <v>0</v>
      </c>
      <c r="AD19" s="46">
        <f t="shared" si="5"/>
        <v>0</v>
      </c>
      <c r="AE19" s="46">
        <f t="shared" si="6"/>
        <v>0</v>
      </c>
      <c r="AF19" s="46">
        <f t="shared" si="7"/>
        <v>0</v>
      </c>
      <c r="AG19" s="46">
        <f t="shared" si="8"/>
        <v>0</v>
      </c>
      <c r="AH19" s="46">
        <f t="shared" si="9"/>
        <v>0</v>
      </c>
      <c r="AI19" s="46">
        <f t="shared" si="10"/>
        <v>0</v>
      </c>
      <c r="AJ19" s="46">
        <f t="shared" si="11"/>
        <v>0</v>
      </c>
      <c r="AK19" s="46">
        <f t="shared" si="12"/>
        <v>0</v>
      </c>
      <c r="AL19" s="46">
        <f t="shared" si="13"/>
        <v>0</v>
      </c>
      <c r="AM19" s="46">
        <f t="shared" si="14"/>
        <v>0</v>
      </c>
      <c r="AN19" s="46">
        <f t="shared" si="15"/>
        <v>0</v>
      </c>
      <c r="AO19" s="46">
        <f t="shared" si="16"/>
        <v>0</v>
      </c>
      <c r="AP19" s="46">
        <f t="shared" si="17"/>
        <v>0</v>
      </c>
      <c r="AQ19" s="46">
        <f t="shared" si="18"/>
        <v>0</v>
      </c>
      <c r="AR19" s="46">
        <f t="shared" si="19"/>
        <v>0</v>
      </c>
      <c r="AS19" s="46">
        <f t="shared" si="20"/>
        <v>0</v>
      </c>
      <c r="AT19" s="46">
        <f t="shared" si="21"/>
        <v>0</v>
      </c>
      <c r="AU19" s="47">
        <f t="shared" si="22"/>
        <v>0</v>
      </c>
      <c r="AV19" s="47">
        <f t="shared" si="23"/>
        <v>0</v>
      </c>
      <c r="AW19" s="47">
        <f t="shared" si="24"/>
        <v>0</v>
      </c>
      <c r="AX19" s="47">
        <f t="shared" si="25"/>
        <v>0</v>
      </c>
      <c r="AY19" s="47">
        <f t="shared" si="26"/>
        <v>0</v>
      </c>
      <c r="AZ19" s="47">
        <f t="shared" si="27"/>
        <v>0</v>
      </c>
      <c r="BA19" s="47">
        <f t="shared" si="28"/>
        <v>0</v>
      </c>
      <c r="BB19" s="47">
        <f t="shared" si="29"/>
        <v>0</v>
      </c>
      <c r="BC19" s="47">
        <f t="shared" si="30"/>
        <v>0</v>
      </c>
      <c r="BD19" s="90">
        <f t="shared" si="31"/>
        <v>0</v>
      </c>
      <c r="BE19" s="90">
        <f t="shared" si="32"/>
        <v>0</v>
      </c>
      <c r="BF19" s="90">
        <f t="shared" si="33"/>
        <v>0</v>
      </c>
      <c r="BG19" s="90">
        <f t="shared" si="34"/>
        <v>0</v>
      </c>
      <c r="BH19" s="90">
        <f t="shared" si="35"/>
        <v>0</v>
      </c>
    </row>
    <row r="20" spans="1:60" x14ac:dyDescent="0.25">
      <c r="A20" s="44">
        <f>'2015 Pension Calculation'!E36</f>
        <v>0</v>
      </c>
      <c r="B20" s="45">
        <v>17</v>
      </c>
      <c r="C20" s="48"/>
      <c r="D20" s="48"/>
      <c r="E20" s="48"/>
      <c r="F20" s="48"/>
      <c r="G20" s="48"/>
      <c r="H20" s="48"/>
      <c r="I20" s="48"/>
      <c r="J20" s="48"/>
      <c r="K20" s="48"/>
      <c r="L20" s="48"/>
      <c r="M20" s="48"/>
      <c r="N20" s="48"/>
      <c r="O20" s="48"/>
      <c r="P20" s="48"/>
      <c r="Q20" s="48"/>
      <c r="R20" s="48"/>
      <c r="S20" s="46">
        <f>$A20*Variables!$C$2</f>
        <v>0</v>
      </c>
      <c r="T20" s="46">
        <f t="shared" ref="T20:Y20" si="51">(S20*$A$1)+S20</f>
        <v>0</v>
      </c>
      <c r="U20" s="46">
        <f t="shared" si="51"/>
        <v>0</v>
      </c>
      <c r="V20" s="46">
        <f t="shared" si="51"/>
        <v>0</v>
      </c>
      <c r="W20" s="46">
        <f t="shared" si="51"/>
        <v>0</v>
      </c>
      <c r="X20" s="46">
        <f t="shared" si="51"/>
        <v>0</v>
      </c>
      <c r="Y20" s="46">
        <f t="shared" si="51"/>
        <v>0</v>
      </c>
      <c r="Z20" s="46">
        <f t="shared" si="1"/>
        <v>0</v>
      </c>
      <c r="AA20" s="46">
        <f t="shared" si="2"/>
        <v>0</v>
      </c>
      <c r="AB20" s="46">
        <f t="shared" si="3"/>
        <v>0</v>
      </c>
      <c r="AC20" s="46">
        <f t="shared" si="4"/>
        <v>0</v>
      </c>
      <c r="AD20" s="46">
        <f t="shared" si="5"/>
        <v>0</v>
      </c>
      <c r="AE20" s="46">
        <f t="shared" si="6"/>
        <v>0</v>
      </c>
      <c r="AF20" s="46">
        <f t="shared" si="7"/>
        <v>0</v>
      </c>
      <c r="AG20" s="46">
        <f t="shared" si="8"/>
        <v>0</v>
      </c>
      <c r="AH20" s="46">
        <f t="shared" si="9"/>
        <v>0</v>
      </c>
      <c r="AI20" s="46">
        <f t="shared" si="10"/>
        <v>0</v>
      </c>
      <c r="AJ20" s="46">
        <f t="shared" si="11"/>
        <v>0</v>
      </c>
      <c r="AK20" s="46">
        <f t="shared" si="12"/>
        <v>0</v>
      </c>
      <c r="AL20" s="46">
        <f t="shared" si="13"/>
        <v>0</v>
      </c>
      <c r="AM20" s="46">
        <f t="shared" si="14"/>
        <v>0</v>
      </c>
      <c r="AN20" s="46">
        <f t="shared" si="15"/>
        <v>0</v>
      </c>
      <c r="AO20" s="46">
        <f t="shared" si="16"/>
        <v>0</v>
      </c>
      <c r="AP20" s="46">
        <f t="shared" si="17"/>
        <v>0</v>
      </c>
      <c r="AQ20" s="46">
        <f t="shared" si="18"/>
        <v>0</v>
      </c>
      <c r="AR20" s="46">
        <f t="shared" si="19"/>
        <v>0</v>
      </c>
      <c r="AS20" s="46">
        <f t="shared" si="20"/>
        <v>0</v>
      </c>
      <c r="AT20" s="46">
        <f t="shared" si="21"/>
        <v>0</v>
      </c>
      <c r="AU20" s="47">
        <f t="shared" si="22"/>
        <v>0</v>
      </c>
      <c r="AV20" s="47">
        <f t="shared" si="23"/>
        <v>0</v>
      </c>
      <c r="AW20" s="47">
        <f t="shared" si="24"/>
        <v>0</v>
      </c>
      <c r="AX20" s="47">
        <f t="shared" si="25"/>
        <v>0</v>
      </c>
      <c r="AY20" s="47">
        <f t="shared" si="26"/>
        <v>0</v>
      </c>
      <c r="AZ20" s="47">
        <f t="shared" si="27"/>
        <v>0</v>
      </c>
      <c r="BA20" s="47">
        <f t="shared" si="28"/>
        <v>0</v>
      </c>
      <c r="BB20" s="47">
        <f t="shared" si="29"/>
        <v>0</v>
      </c>
      <c r="BC20" s="47">
        <f t="shared" si="30"/>
        <v>0</v>
      </c>
      <c r="BD20" s="90">
        <f t="shared" si="31"/>
        <v>0</v>
      </c>
      <c r="BE20" s="90">
        <f t="shared" si="32"/>
        <v>0</v>
      </c>
      <c r="BF20" s="90">
        <f t="shared" si="33"/>
        <v>0</v>
      </c>
      <c r="BG20" s="90">
        <f t="shared" si="34"/>
        <v>0</v>
      </c>
      <c r="BH20" s="90">
        <f t="shared" si="35"/>
        <v>0</v>
      </c>
    </row>
    <row r="21" spans="1:60" x14ac:dyDescent="0.25">
      <c r="A21" s="44">
        <f>'2015 Pension Calculation'!E37</f>
        <v>0</v>
      </c>
      <c r="B21" s="45">
        <v>18</v>
      </c>
      <c r="C21" s="48"/>
      <c r="D21" s="48"/>
      <c r="E21" s="48"/>
      <c r="F21" s="48"/>
      <c r="G21" s="48"/>
      <c r="H21" s="48"/>
      <c r="I21" s="48"/>
      <c r="J21" s="48"/>
      <c r="K21" s="48"/>
      <c r="L21" s="48"/>
      <c r="M21" s="48"/>
      <c r="N21" s="48"/>
      <c r="O21" s="48"/>
      <c r="P21" s="48"/>
      <c r="Q21" s="48"/>
      <c r="R21" s="48"/>
      <c r="S21" s="48"/>
      <c r="T21" s="46">
        <f>$A21*Variables!$C$2</f>
        <v>0</v>
      </c>
      <c r="U21" s="46">
        <f>(T21*$A$1)+T21</f>
        <v>0</v>
      </c>
      <c r="V21" s="46">
        <f>(U21*$A$1)+U21</f>
        <v>0</v>
      </c>
      <c r="W21" s="46">
        <f>(V21*$A$1)+V21</f>
        <v>0</v>
      </c>
      <c r="X21" s="46">
        <f>(W21*$A$1)+W21</f>
        <v>0</v>
      </c>
      <c r="Y21" s="46">
        <f>(X21*$A$1)+X21</f>
        <v>0</v>
      </c>
      <c r="Z21" s="46">
        <f t="shared" si="1"/>
        <v>0</v>
      </c>
      <c r="AA21" s="46">
        <f t="shared" si="2"/>
        <v>0</v>
      </c>
      <c r="AB21" s="46">
        <f t="shared" si="3"/>
        <v>0</v>
      </c>
      <c r="AC21" s="46">
        <f t="shared" si="4"/>
        <v>0</v>
      </c>
      <c r="AD21" s="46">
        <f t="shared" si="5"/>
        <v>0</v>
      </c>
      <c r="AE21" s="46">
        <f t="shared" si="6"/>
        <v>0</v>
      </c>
      <c r="AF21" s="46">
        <f t="shared" si="7"/>
        <v>0</v>
      </c>
      <c r="AG21" s="46">
        <f t="shared" si="8"/>
        <v>0</v>
      </c>
      <c r="AH21" s="46">
        <f t="shared" si="9"/>
        <v>0</v>
      </c>
      <c r="AI21" s="46">
        <f t="shared" si="10"/>
        <v>0</v>
      </c>
      <c r="AJ21" s="46">
        <f t="shared" si="11"/>
        <v>0</v>
      </c>
      <c r="AK21" s="46">
        <f t="shared" si="12"/>
        <v>0</v>
      </c>
      <c r="AL21" s="46">
        <f t="shared" si="13"/>
        <v>0</v>
      </c>
      <c r="AM21" s="46">
        <f t="shared" si="14"/>
        <v>0</v>
      </c>
      <c r="AN21" s="46">
        <f t="shared" si="15"/>
        <v>0</v>
      </c>
      <c r="AO21" s="46">
        <f t="shared" si="16"/>
        <v>0</v>
      </c>
      <c r="AP21" s="46">
        <f t="shared" si="17"/>
        <v>0</v>
      </c>
      <c r="AQ21" s="46">
        <f t="shared" si="18"/>
        <v>0</v>
      </c>
      <c r="AR21" s="46">
        <f t="shared" si="19"/>
        <v>0</v>
      </c>
      <c r="AS21" s="46">
        <f t="shared" si="20"/>
        <v>0</v>
      </c>
      <c r="AT21" s="46">
        <f t="shared" si="21"/>
        <v>0</v>
      </c>
      <c r="AU21" s="47">
        <f t="shared" si="22"/>
        <v>0</v>
      </c>
      <c r="AV21" s="47">
        <f t="shared" si="23"/>
        <v>0</v>
      </c>
      <c r="AW21" s="47">
        <f t="shared" si="24"/>
        <v>0</v>
      </c>
      <c r="AX21" s="47">
        <f t="shared" si="25"/>
        <v>0</v>
      </c>
      <c r="AY21" s="47">
        <f t="shared" si="26"/>
        <v>0</v>
      </c>
      <c r="AZ21" s="47">
        <f t="shared" si="27"/>
        <v>0</v>
      </c>
      <c r="BA21" s="47">
        <f t="shared" si="28"/>
        <v>0</v>
      </c>
      <c r="BB21" s="47">
        <f t="shared" si="29"/>
        <v>0</v>
      </c>
      <c r="BC21" s="47">
        <f t="shared" si="30"/>
        <v>0</v>
      </c>
      <c r="BD21" s="90">
        <f t="shared" si="31"/>
        <v>0</v>
      </c>
      <c r="BE21" s="90">
        <f t="shared" si="32"/>
        <v>0</v>
      </c>
      <c r="BF21" s="90">
        <f t="shared" si="33"/>
        <v>0</v>
      </c>
      <c r="BG21" s="90">
        <f t="shared" si="34"/>
        <v>0</v>
      </c>
      <c r="BH21" s="90">
        <f t="shared" si="35"/>
        <v>0</v>
      </c>
    </row>
    <row r="22" spans="1:60" x14ac:dyDescent="0.25">
      <c r="A22" s="44">
        <f>'2015 Pension Calculation'!E38</f>
        <v>0</v>
      </c>
      <c r="B22" s="45">
        <v>19</v>
      </c>
      <c r="C22" s="48"/>
      <c r="D22" s="48"/>
      <c r="E22" s="48"/>
      <c r="F22" s="48"/>
      <c r="G22" s="48"/>
      <c r="H22" s="48"/>
      <c r="I22" s="48"/>
      <c r="J22" s="48"/>
      <c r="K22" s="48"/>
      <c r="L22" s="48"/>
      <c r="M22" s="48"/>
      <c r="N22" s="48"/>
      <c r="O22" s="48"/>
      <c r="P22" s="48"/>
      <c r="Q22" s="48"/>
      <c r="R22" s="48"/>
      <c r="S22" s="48"/>
      <c r="T22" s="48"/>
      <c r="U22" s="46">
        <f>$A22*Variables!$C$2</f>
        <v>0</v>
      </c>
      <c r="V22" s="46">
        <f>(U22*$A$1)+U22</f>
        <v>0</v>
      </c>
      <c r="W22" s="46">
        <f>(V22*$A$1)+V22</f>
        <v>0</v>
      </c>
      <c r="X22" s="46">
        <f>(W22*$A$1)+W22</f>
        <v>0</v>
      </c>
      <c r="Y22" s="46">
        <f>(X22*$A$1)+X22</f>
        <v>0</v>
      </c>
      <c r="Z22" s="46">
        <f t="shared" si="1"/>
        <v>0</v>
      </c>
      <c r="AA22" s="46">
        <f t="shared" si="2"/>
        <v>0</v>
      </c>
      <c r="AB22" s="46">
        <f t="shared" si="3"/>
        <v>0</v>
      </c>
      <c r="AC22" s="46">
        <f t="shared" si="4"/>
        <v>0</v>
      </c>
      <c r="AD22" s="46">
        <f t="shared" si="5"/>
        <v>0</v>
      </c>
      <c r="AE22" s="46">
        <f t="shared" si="6"/>
        <v>0</v>
      </c>
      <c r="AF22" s="46">
        <f t="shared" si="7"/>
        <v>0</v>
      </c>
      <c r="AG22" s="46">
        <f t="shared" si="8"/>
        <v>0</v>
      </c>
      <c r="AH22" s="46">
        <f t="shared" si="9"/>
        <v>0</v>
      </c>
      <c r="AI22" s="46">
        <f t="shared" si="10"/>
        <v>0</v>
      </c>
      <c r="AJ22" s="46">
        <f t="shared" si="11"/>
        <v>0</v>
      </c>
      <c r="AK22" s="46">
        <f t="shared" si="12"/>
        <v>0</v>
      </c>
      <c r="AL22" s="46">
        <f t="shared" si="13"/>
        <v>0</v>
      </c>
      <c r="AM22" s="46">
        <f t="shared" si="14"/>
        <v>0</v>
      </c>
      <c r="AN22" s="46">
        <f t="shared" si="15"/>
        <v>0</v>
      </c>
      <c r="AO22" s="46">
        <f t="shared" si="16"/>
        <v>0</v>
      </c>
      <c r="AP22" s="46">
        <f t="shared" si="17"/>
        <v>0</v>
      </c>
      <c r="AQ22" s="46">
        <f t="shared" si="18"/>
        <v>0</v>
      </c>
      <c r="AR22" s="46">
        <f t="shared" si="19"/>
        <v>0</v>
      </c>
      <c r="AS22" s="46">
        <f t="shared" si="20"/>
        <v>0</v>
      </c>
      <c r="AT22" s="46">
        <f t="shared" si="21"/>
        <v>0</v>
      </c>
      <c r="AU22" s="47">
        <f t="shared" si="22"/>
        <v>0</v>
      </c>
      <c r="AV22" s="47">
        <f t="shared" si="23"/>
        <v>0</v>
      </c>
      <c r="AW22" s="47">
        <f t="shared" si="24"/>
        <v>0</v>
      </c>
      <c r="AX22" s="47">
        <f t="shared" si="25"/>
        <v>0</v>
      </c>
      <c r="AY22" s="47">
        <f t="shared" si="26"/>
        <v>0</v>
      </c>
      <c r="AZ22" s="47">
        <f t="shared" si="27"/>
        <v>0</v>
      </c>
      <c r="BA22" s="47">
        <f t="shared" si="28"/>
        <v>0</v>
      </c>
      <c r="BB22" s="47">
        <f t="shared" si="29"/>
        <v>0</v>
      </c>
      <c r="BC22" s="47">
        <f t="shared" si="30"/>
        <v>0</v>
      </c>
      <c r="BD22" s="90">
        <f t="shared" si="31"/>
        <v>0</v>
      </c>
      <c r="BE22" s="90">
        <f t="shared" si="32"/>
        <v>0</v>
      </c>
      <c r="BF22" s="90">
        <f t="shared" si="33"/>
        <v>0</v>
      </c>
      <c r="BG22" s="90">
        <f t="shared" si="34"/>
        <v>0</v>
      </c>
      <c r="BH22" s="90">
        <f t="shared" si="35"/>
        <v>0</v>
      </c>
    </row>
    <row r="23" spans="1:60" x14ac:dyDescent="0.25">
      <c r="A23" s="44">
        <f>'2015 Pension Calculation'!E39</f>
        <v>0</v>
      </c>
      <c r="B23" s="45">
        <v>20</v>
      </c>
      <c r="C23" s="48"/>
      <c r="D23" s="48"/>
      <c r="E23" s="48"/>
      <c r="F23" s="48"/>
      <c r="G23" s="48"/>
      <c r="H23" s="48"/>
      <c r="I23" s="48"/>
      <c r="J23" s="48"/>
      <c r="K23" s="48"/>
      <c r="L23" s="48"/>
      <c r="M23" s="48"/>
      <c r="N23" s="48"/>
      <c r="O23" s="48"/>
      <c r="P23" s="48"/>
      <c r="Q23" s="48"/>
      <c r="R23" s="48"/>
      <c r="S23" s="48"/>
      <c r="T23" s="48"/>
      <c r="U23" s="48"/>
      <c r="V23" s="46">
        <f>$A23*Variables!$C$2</f>
        <v>0</v>
      </c>
      <c r="W23" s="46">
        <f>(V23*$A$1)+V23</f>
        <v>0</v>
      </c>
      <c r="X23" s="46">
        <f>(W23*$A$1)+W23</f>
        <v>0</v>
      </c>
      <c r="Y23" s="46">
        <f>(X23*$A$1)+X23</f>
        <v>0</v>
      </c>
      <c r="Z23" s="46">
        <f t="shared" si="1"/>
        <v>0</v>
      </c>
      <c r="AA23" s="46">
        <f t="shared" si="2"/>
        <v>0</v>
      </c>
      <c r="AB23" s="46">
        <f t="shared" si="3"/>
        <v>0</v>
      </c>
      <c r="AC23" s="46">
        <f t="shared" si="4"/>
        <v>0</v>
      </c>
      <c r="AD23" s="46">
        <f t="shared" si="5"/>
        <v>0</v>
      </c>
      <c r="AE23" s="46">
        <f t="shared" si="6"/>
        <v>0</v>
      </c>
      <c r="AF23" s="46">
        <f t="shared" si="7"/>
        <v>0</v>
      </c>
      <c r="AG23" s="46">
        <f t="shared" si="8"/>
        <v>0</v>
      </c>
      <c r="AH23" s="46">
        <f t="shared" si="9"/>
        <v>0</v>
      </c>
      <c r="AI23" s="46">
        <f t="shared" si="10"/>
        <v>0</v>
      </c>
      <c r="AJ23" s="46">
        <f t="shared" si="11"/>
        <v>0</v>
      </c>
      <c r="AK23" s="46">
        <f t="shared" si="12"/>
        <v>0</v>
      </c>
      <c r="AL23" s="46">
        <f t="shared" si="13"/>
        <v>0</v>
      </c>
      <c r="AM23" s="46">
        <f t="shared" si="14"/>
        <v>0</v>
      </c>
      <c r="AN23" s="46">
        <f t="shared" si="15"/>
        <v>0</v>
      </c>
      <c r="AO23" s="46">
        <f t="shared" si="16"/>
        <v>0</v>
      </c>
      <c r="AP23" s="46">
        <f t="shared" si="17"/>
        <v>0</v>
      </c>
      <c r="AQ23" s="46">
        <f t="shared" si="18"/>
        <v>0</v>
      </c>
      <c r="AR23" s="46">
        <f t="shared" si="19"/>
        <v>0</v>
      </c>
      <c r="AS23" s="46">
        <f t="shared" si="20"/>
        <v>0</v>
      </c>
      <c r="AT23" s="46">
        <f t="shared" si="21"/>
        <v>0</v>
      </c>
      <c r="AU23" s="47">
        <f t="shared" si="22"/>
        <v>0</v>
      </c>
      <c r="AV23" s="47">
        <f t="shared" si="23"/>
        <v>0</v>
      </c>
      <c r="AW23" s="47">
        <f t="shared" si="24"/>
        <v>0</v>
      </c>
      <c r="AX23" s="47">
        <f t="shared" si="25"/>
        <v>0</v>
      </c>
      <c r="AY23" s="47">
        <f t="shared" si="26"/>
        <v>0</v>
      </c>
      <c r="AZ23" s="47">
        <f t="shared" si="27"/>
        <v>0</v>
      </c>
      <c r="BA23" s="47">
        <f t="shared" si="28"/>
        <v>0</v>
      </c>
      <c r="BB23" s="47">
        <f t="shared" si="29"/>
        <v>0</v>
      </c>
      <c r="BC23" s="47">
        <f t="shared" si="30"/>
        <v>0</v>
      </c>
      <c r="BD23" s="90">
        <f t="shared" si="31"/>
        <v>0</v>
      </c>
      <c r="BE23" s="90">
        <f t="shared" si="32"/>
        <v>0</v>
      </c>
      <c r="BF23" s="90">
        <f t="shared" si="33"/>
        <v>0</v>
      </c>
      <c r="BG23" s="90">
        <f t="shared" si="34"/>
        <v>0</v>
      </c>
      <c r="BH23" s="90">
        <f t="shared" si="35"/>
        <v>0</v>
      </c>
    </row>
    <row r="24" spans="1:60" x14ac:dyDescent="0.25">
      <c r="A24" s="44">
        <f>'2015 Pension Calculation'!E40</f>
        <v>0</v>
      </c>
      <c r="B24" s="45">
        <v>21</v>
      </c>
      <c r="C24" s="48"/>
      <c r="D24" s="48"/>
      <c r="E24" s="48"/>
      <c r="F24" s="48"/>
      <c r="G24" s="48"/>
      <c r="H24" s="48"/>
      <c r="I24" s="48"/>
      <c r="J24" s="48"/>
      <c r="K24" s="48"/>
      <c r="L24" s="48"/>
      <c r="M24" s="48"/>
      <c r="N24" s="48"/>
      <c r="O24" s="48"/>
      <c r="P24" s="48"/>
      <c r="Q24" s="48"/>
      <c r="R24" s="48"/>
      <c r="S24" s="48"/>
      <c r="T24" s="48"/>
      <c r="U24" s="48"/>
      <c r="V24" s="48"/>
      <c r="W24" s="46">
        <f>$A24*Variables!$C$2</f>
        <v>0</v>
      </c>
      <c r="X24" s="46">
        <f>(W24*$A$1)+W24</f>
        <v>0</v>
      </c>
      <c r="Y24" s="46">
        <f>(X24*$A$1)+X24</f>
        <v>0</v>
      </c>
      <c r="Z24" s="46">
        <f t="shared" si="1"/>
        <v>0</v>
      </c>
      <c r="AA24" s="46">
        <f t="shared" si="2"/>
        <v>0</v>
      </c>
      <c r="AB24" s="46">
        <f t="shared" si="3"/>
        <v>0</v>
      </c>
      <c r="AC24" s="46">
        <f t="shared" si="4"/>
        <v>0</v>
      </c>
      <c r="AD24" s="46">
        <f t="shared" si="5"/>
        <v>0</v>
      </c>
      <c r="AE24" s="46">
        <f t="shared" si="6"/>
        <v>0</v>
      </c>
      <c r="AF24" s="46">
        <f t="shared" si="7"/>
        <v>0</v>
      </c>
      <c r="AG24" s="46">
        <f t="shared" si="8"/>
        <v>0</v>
      </c>
      <c r="AH24" s="46">
        <f t="shared" si="9"/>
        <v>0</v>
      </c>
      <c r="AI24" s="46">
        <f t="shared" si="10"/>
        <v>0</v>
      </c>
      <c r="AJ24" s="46">
        <f t="shared" si="11"/>
        <v>0</v>
      </c>
      <c r="AK24" s="46">
        <f t="shared" si="12"/>
        <v>0</v>
      </c>
      <c r="AL24" s="46">
        <f t="shared" si="13"/>
        <v>0</v>
      </c>
      <c r="AM24" s="46">
        <f t="shared" si="14"/>
        <v>0</v>
      </c>
      <c r="AN24" s="46">
        <f t="shared" si="15"/>
        <v>0</v>
      </c>
      <c r="AO24" s="46">
        <f t="shared" si="16"/>
        <v>0</v>
      </c>
      <c r="AP24" s="46">
        <f t="shared" si="17"/>
        <v>0</v>
      </c>
      <c r="AQ24" s="46">
        <f t="shared" si="18"/>
        <v>0</v>
      </c>
      <c r="AR24" s="46">
        <f t="shared" si="19"/>
        <v>0</v>
      </c>
      <c r="AS24" s="46">
        <f t="shared" si="20"/>
        <v>0</v>
      </c>
      <c r="AT24" s="46">
        <f t="shared" si="21"/>
        <v>0</v>
      </c>
      <c r="AU24" s="47">
        <f t="shared" si="22"/>
        <v>0</v>
      </c>
      <c r="AV24" s="47">
        <f t="shared" si="23"/>
        <v>0</v>
      </c>
      <c r="AW24" s="47">
        <f t="shared" si="24"/>
        <v>0</v>
      </c>
      <c r="AX24" s="47">
        <f t="shared" si="25"/>
        <v>0</v>
      </c>
      <c r="AY24" s="47">
        <f t="shared" si="26"/>
        <v>0</v>
      </c>
      <c r="AZ24" s="47">
        <f t="shared" si="27"/>
        <v>0</v>
      </c>
      <c r="BA24" s="47">
        <f t="shared" si="28"/>
        <v>0</v>
      </c>
      <c r="BB24" s="47">
        <f t="shared" si="29"/>
        <v>0</v>
      </c>
      <c r="BC24" s="47">
        <f t="shared" si="30"/>
        <v>0</v>
      </c>
      <c r="BD24" s="90">
        <f t="shared" si="31"/>
        <v>0</v>
      </c>
      <c r="BE24" s="90">
        <f t="shared" si="32"/>
        <v>0</v>
      </c>
      <c r="BF24" s="90">
        <f t="shared" si="33"/>
        <v>0</v>
      </c>
      <c r="BG24" s="90">
        <f t="shared" si="34"/>
        <v>0</v>
      </c>
      <c r="BH24" s="90">
        <f t="shared" si="35"/>
        <v>0</v>
      </c>
    </row>
    <row r="25" spans="1:60" x14ac:dyDescent="0.25">
      <c r="A25" s="44">
        <f>'2015 Pension Calculation'!E41</f>
        <v>0</v>
      </c>
      <c r="B25" s="45">
        <v>22</v>
      </c>
      <c r="C25" s="48"/>
      <c r="D25" s="48"/>
      <c r="E25" s="48"/>
      <c r="F25" s="48"/>
      <c r="G25" s="48"/>
      <c r="H25" s="48"/>
      <c r="I25" s="48"/>
      <c r="J25" s="48"/>
      <c r="K25" s="48"/>
      <c r="L25" s="48"/>
      <c r="M25" s="48"/>
      <c r="N25" s="48"/>
      <c r="O25" s="48"/>
      <c r="P25" s="48"/>
      <c r="Q25" s="48"/>
      <c r="R25" s="48"/>
      <c r="S25" s="48"/>
      <c r="T25" s="48"/>
      <c r="U25" s="48"/>
      <c r="V25" s="48"/>
      <c r="W25" s="48"/>
      <c r="X25" s="46">
        <f>$A25*Variables!$C$2</f>
        <v>0</v>
      </c>
      <c r="Y25" s="46">
        <f>(X25*$A$1)+X25</f>
        <v>0</v>
      </c>
      <c r="Z25" s="46">
        <f t="shared" si="1"/>
        <v>0</v>
      </c>
      <c r="AA25" s="46">
        <f t="shared" si="2"/>
        <v>0</v>
      </c>
      <c r="AB25" s="46">
        <f t="shared" si="3"/>
        <v>0</v>
      </c>
      <c r="AC25" s="46">
        <f t="shared" si="4"/>
        <v>0</v>
      </c>
      <c r="AD25" s="46">
        <f t="shared" si="5"/>
        <v>0</v>
      </c>
      <c r="AE25" s="46">
        <f t="shared" si="6"/>
        <v>0</v>
      </c>
      <c r="AF25" s="46">
        <f t="shared" si="7"/>
        <v>0</v>
      </c>
      <c r="AG25" s="46">
        <f t="shared" si="8"/>
        <v>0</v>
      </c>
      <c r="AH25" s="46">
        <f t="shared" si="9"/>
        <v>0</v>
      </c>
      <c r="AI25" s="46">
        <f t="shared" si="10"/>
        <v>0</v>
      </c>
      <c r="AJ25" s="46">
        <f t="shared" si="11"/>
        <v>0</v>
      </c>
      <c r="AK25" s="46">
        <f t="shared" si="12"/>
        <v>0</v>
      </c>
      <c r="AL25" s="46">
        <f t="shared" si="13"/>
        <v>0</v>
      </c>
      <c r="AM25" s="46">
        <f t="shared" si="14"/>
        <v>0</v>
      </c>
      <c r="AN25" s="46">
        <f t="shared" si="15"/>
        <v>0</v>
      </c>
      <c r="AO25" s="46">
        <f t="shared" si="16"/>
        <v>0</v>
      </c>
      <c r="AP25" s="46">
        <f t="shared" si="17"/>
        <v>0</v>
      </c>
      <c r="AQ25" s="46">
        <f t="shared" si="18"/>
        <v>0</v>
      </c>
      <c r="AR25" s="46">
        <f t="shared" si="19"/>
        <v>0</v>
      </c>
      <c r="AS25" s="46">
        <f t="shared" si="20"/>
        <v>0</v>
      </c>
      <c r="AT25" s="46">
        <f t="shared" si="21"/>
        <v>0</v>
      </c>
      <c r="AU25" s="47">
        <f t="shared" si="22"/>
        <v>0</v>
      </c>
      <c r="AV25" s="47">
        <f t="shared" si="23"/>
        <v>0</v>
      </c>
      <c r="AW25" s="47">
        <f t="shared" si="24"/>
        <v>0</v>
      </c>
      <c r="AX25" s="47">
        <f t="shared" si="25"/>
        <v>0</v>
      </c>
      <c r="AY25" s="47">
        <f t="shared" si="26"/>
        <v>0</v>
      </c>
      <c r="AZ25" s="47">
        <f t="shared" si="27"/>
        <v>0</v>
      </c>
      <c r="BA25" s="47">
        <f t="shared" si="28"/>
        <v>0</v>
      </c>
      <c r="BB25" s="47">
        <f t="shared" si="29"/>
        <v>0</v>
      </c>
      <c r="BC25" s="47">
        <f t="shared" si="30"/>
        <v>0</v>
      </c>
      <c r="BD25" s="90">
        <f t="shared" si="31"/>
        <v>0</v>
      </c>
      <c r="BE25" s="90">
        <f t="shared" si="32"/>
        <v>0</v>
      </c>
      <c r="BF25" s="90">
        <f t="shared" si="33"/>
        <v>0</v>
      </c>
      <c r="BG25" s="90">
        <f t="shared" si="34"/>
        <v>0</v>
      </c>
      <c r="BH25" s="90">
        <f t="shared" si="35"/>
        <v>0</v>
      </c>
    </row>
    <row r="26" spans="1:60" x14ac:dyDescent="0.25">
      <c r="A26" s="44">
        <f>'2015 Pension Calculation'!E42</f>
        <v>0</v>
      </c>
      <c r="B26" s="45">
        <v>23</v>
      </c>
      <c r="C26" s="49"/>
      <c r="D26" s="49"/>
      <c r="E26" s="49"/>
      <c r="F26" s="49"/>
      <c r="G26" s="49"/>
      <c r="H26" s="49"/>
      <c r="I26" s="49"/>
      <c r="J26" s="49"/>
      <c r="K26" s="49"/>
      <c r="L26" s="49"/>
      <c r="M26" s="49"/>
      <c r="N26" s="49"/>
      <c r="O26" s="49"/>
      <c r="P26" s="49"/>
      <c r="Q26" s="49"/>
      <c r="R26" s="49"/>
      <c r="S26" s="49"/>
      <c r="T26" s="49"/>
      <c r="U26" s="49"/>
      <c r="V26" s="49"/>
      <c r="W26" s="49"/>
      <c r="X26" s="49"/>
      <c r="Y26" s="46">
        <f>$A26*Variables!$C$2</f>
        <v>0</v>
      </c>
      <c r="Z26" s="46">
        <f t="shared" si="1"/>
        <v>0</v>
      </c>
      <c r="AA26" s="46">
        <f t="shared" si="2"/>
        <v>0</v>
      </c>
      <c r="AB26" s="46">
        <f t="shared" si="3"/>
        <v>0</v>
      </c>
      <c r="AC26" s="46">
        <f t="shared" si="4"/>
        <v>0</v>
      </c>
      <c r="AD26" s="46">
        <f t="shared" si="5"/>
        <v>0</v>
      </c>
      <c r="AE26" s="46">
        <f t="shared" si="6"/>
        <v>0</v>
      </c>
      <c r="AF26" s="46">
        <f t="shared" si="7"/>
        <v>0</v>
      </c>
      <c r="AG26" s="46">
        <f t="shared" si="8"/>
        <v>0</v>
      </c>
      <c r="AH26" s="46">
        <f t="shared" si="9"/>
        <v>0</v>
      </c>
      <c r="AI26" s="46">
        <f t="shared" si="10"/>
        <v>0</v>
      </c>
      <c r="AJ26" s="46">
        <f t="shared" si="11"/>
        <v>0</v>
      </c>
      <c r="AK26" s="46">
        <f t="shared" si="12"/>
        <v>0</v>
      </c>
      <c r="AL26" s="46">
        <f t="shared" si="13"/>
        <v>0</v>
      </c>
      <c r="AM26" s="46">
        <f t="shared" si="14"/>
        <v>0</v>
      </c>
      <c r="AN26" s="46">
        <f t="shared" si="15"/>
        <v>0</v>
      </c>
      <c r="AO26" s="46">
        <f t="shared" si="16"/>
        <v>0</v>
      </c>
      <c r="AP26" s="46">
        <f t="shared" si="17"/>
        <v>0</v>
      </c>
      <c r="AQ26" s="46">
        <f t="shared" si="18"/>
        <v>0</v>
      </c>
      <c r="AR26" s="46">
        <f t="shared" si="19"/>
        <v>0</v>
      </c>
      <c r="AS26" s="46">
        <f t="shared" si="20"/>
        <v>0</v>
      </c>
      <c r="AT26" s="46">
        <f t="shared" si="21"/>
        <v>0</v>
      </c>
      <c r="AU26" s="47">
        <f t="shared" si="22"/>
        <v>0</v>
      </c>
      <c r="AV26" s="47">
        <f t="shared" si="23"/>
        <v>0</v>
      </c>
      <c r="AW26" s="47">
        <f t="shared" si="24"/>
        <v>0</v>
      </c>
      <c r="AX26" s="47">
        <f t="shared" si="25"/>
        <v>0</v>
      </c>
      <c r="AY26" s="47">
        <f t="shared" si="26"/>
        <v>0</v>
      </c>
      <c r="AZ26" s="47">
        <f t="shared" si="27"/>
        <v>0</v>
      </c>
      <c r="BA26" s="47">
        <f t="shared" si="28"/>
        <v>0</v>
      </c>
      <c r="BB26" s="47">
        <f t="shared" si="29"/>
        <v>0</v>
      </c>
      <c r="BC26" s="47">
        <f t="shared" si="30"/>
        <v>0</v>
      </c>
      <c r="BD26" s="90">
        <f t="shared" si="31"/>
        <v>0</v>
      </c>
      <c r="BE26" s="90">
        <f t="shared" si="32"/>
        <v>0</v>
      </c>
      <c r="BF26" s="90">
        <f t="shared" si="33"/>
        <v>0</v>
      </c>
      <c r="BG26" s="90">
        <f t="shared" si="34"/>
        <v>0</v>
      </c>
      <c r="BH26" s="90">
        <f t="shared" si="35"/>
        <v>0</v>
      </c>
    </row>
    <row r="27" spans="1:60" x14ac:dyDescent="0.25">
      <c r="A27" s="44">
        <f>'2015 Pension Calculation'!E43</f>
        <v>0</v>
      </c>
      <c r="B27" s="45">
        <v>24</v>
      </c>
      <c r="C27" s="49"/>
      <c r="D27" s="49"/>
      <c r="E27" s="49"/>
      <c r="F27" s="49"/>
      <c r="G27" s="49"/>
      <c r="H27" s="49"/>
      <c r="I27" s="49"/>
      <c r="J27" s="49"/>
      <c r="K27" s="49"/>
      <c r="L27" s="49"/>
      <c r="M27" s="49"/>
      <c r="N27" s="49"/>
      <c r="O27" s="49"/>
      <c r="P27" s="49"/>
      <c r="Q27" s="49"/>
      <c r="R27" s="49"/>
      <c r="S27" s="49"/>
      <c r="T27" s="49"/>
      <c r="U27" s="49"/>
      <c r="V27" s="49"/>
      <c r="W27" s="49"/>
      <c r="X27" s="49"/>
      <c r="Y27" s="49"/>
      <c r="Z27" s="46">
        <f>$A27*Variables!$C$2</f>
        <v>0</v>
      </c>
      <c r="AA27" s="46">
        <f t="shared" si="2"/>
        <v>0</v>
      </c>
      <c r="AB27" s="46">
        <f t="shared" si="3"/>
        <v>0</v>
      </c>
      <c r="AC27" s="46">
        <f t="shared" si="4"/>
        <v>0</v>
      </c>
      <c r="AD27" s="46">
        <f t="shared" si="5"/>
        <v>0</v>
      </c>
      <c r="AE27" s="46">
        <f t="shared" si="6"/>
        <v>0</v>
      </c>
      <c r="AF27" s="46">
        <f t="shared" si="7"/>
        <v>0</v>
      </c>
      <c r="AG27" s="46">
        <f t="shared" si="8"/>
        <v>0</v>
      </c>
      <c r="AH27" s="46">
        <f t="shared" si="9"/>
        <v>0</v>
      </c>
      <c r="AI27" s="46">
        <f t="shared" si="10"/>
        <v>0</v>
      </c>
      <c r="AJ27" s="46">
        <f t="shared" si="11"/>
        <v>0</v>
      </c>
      <c r="AK27" s="46">
        <f t="shared" si="12"/>
        <v>0</v>
      </c>
      <c r="AL27" s="46">
        <f t="shared" si="13"/>
        <v>0</v>
      </c>
      <c r="AM27" s="46">
        <f t="shared" si="14"/>
        <v>0</v>
      </c>
      <c r="AN27" s="46">
        <f t="shared" si="15"/>
        <v>0</v>
      </c>
      <c r="AO27" s="46">
        <f t="shared" si="16"/>
        <v>0</v>
      </c>
      <c r="AP27" s="46">
        <f t="shared" si="17"/>
        <v>0</v>
      </c>
      <c r="AQ27" s="46">
        <f t="shared" si="18"/>
        <v>0</v>
      </c>
      <c r="AR27" s="46">
        <f t="shared" si="19"/>
        <v>0</v>
      </c>
      <c r="AS27" s="46">
        <f t="shared" si="20"/>
        <v>0</v>
      </c>
      <c r="AT27" s="46">
        <f t="shared" si="21"/>
        <v>0</v>
      </c>
      <c r="AU27" s="47">
        <f t="shared" si="22"/>
        <v>0</v>
      </c>
      <c r="AV27" s="47">
        <f t="shared" si="23"/>
        <v>0</v>
      </c>
      <c r="AW27" s="47">
        <f t="shared" si="24"/>
        <v>0</v>
      </c>
      <c r="AX27" s="47">
        <f t="shared" si="25"/>
        <v>0</v>
      </c>
      <c r="AY27" s="47">
        <f t="shared" si="26"/>
        <v>0</v>
      </c>
      <c r="AZ27" s="47">
        <f t="shared" si="27"/>
        <v>0</v>
      </c>
      <c r="BA27" s="47">
        <f t="shared" si="28"/>
        <v>0</v>
      </c>
      <c r="BB27" s="47">
        <f t="shared" si="29"/>
        <v>0</v>
      </c>
      <c r="BC27" s="47">
        <f t="shared" si="30"/>
        <v>0</v>
      </c>
      <c r="BD27" s="90">
        <f t="shared" si="31"/>
        <v>0</v>
      </c>
      <c r="BE27" s="90">
        <f t="shared" si="32"/>
        <v>0</v>
      </c>
      <c r="BF27" s="90">
        <f t="shared" si="33"/>
        <v>0</v>
      </c>
      <c r="BG27" s="90">
        <f t="shared" si="34"/>
        <v>0</v>
      </c>
      <c r="BH27" s="90">
        <f t="shared" si="35"/>
        <v>0</v>
      </c>
    </row>
    <row r="28" spans="1:60" x14ac:dyDescent="0.25">
      <c r="A28" s="44">
        <f>'2015 Pension Calculation'!E44</f>
        <v>0</v>
      </c>
      <c r="B28" s="45">
        <v>25</v>
      </c>
      <c r="C28" s="49"/>
      <c r="D28" s="49"/>
      <c r="E28" s="49"/>
      <c r="F28" s="49"/>
      <c r="G28" s="49"/>
      <c r="H28" s="49"/>
      <c r="I28" s="49"/>
      <c r="J28" s="49"/>
      <c r="K28" s="49"/>
      <c r="L28" s="49"/>
      <c r="M28" s="49"/>
      <c r="N28" s="49"/>
      <c r="O28" s="49"/>
      <c r="P28" s="49"/>
      <c r="Q28" s="49"/>
      <c r="R28" s="49"/>
      <c r="S28" s="49"/>
      <c r="T28" s="49"/>
      <c r="U28" s="49"/>
      <c r="V28" s="49"/>
      <c r="W28" s="49"/>
      <c r="X28" s="49"/>
      <c r="Y28" s="49"/>
      <c r="Z28" s="49"/>
      <c r="AA28" s="46">
        <f>$A28*Variables!$C$2</f>
        <v>0</v>
      </c>
      <c r="AB28" s="46">
        <f t="shared" si="3"/>
        <v>0</v>
      </c>
      <c r="AC28" s="46">
        <f t="shared" si="4"/>
        <v>0</v>
      </c>
      <c r="AD28" s="46">
        <f t="shared" si="5"/>
        <v>0</v>
      </c>
      <c r="AE28" s="46">
        <f t="shared" si="6"/>
        <v>0</v>
      </c>
      <c r="AF28" s="46">
        <f t="shared" si="7"/>
        <v>0</v>
      </c>
      <c r="AG28" s="46">
        <f t="shared" si="8"/>
        <v>0</v>
      </c>
      <c r="AH28" s="46">
        <f t="shared" si="9"/>
        <v>0</v>
      </c>
      <c r="AI28" s="46">
        <f t="shared" si="10"/>
        <v>0</v>
      </c>
      <c r="AJ28" s="46">
        <f t="shared" si="11"/>
        <v>0</v>
      </c>
      <c r="AK28" s="46">
        <f t="shared" si="12"/>
        <v>0</v>
      </c>
      <c r="AL28" s="46">
        <f t="shared" si="13"/>
        <v>0</v>
      </c>
      <c r="AM28" s="46">
        <f t="shared" si="14"/>
        <v>0</v>
      </c>
      <c r="AN28" s="46">
        <f t="shared" si="15"/>
        <v>0</v>
      </c>
      <c r="AO28" s="46">
        <f t="shared" si="16"/>
        <v>0</v>
      </c>
      <c r="AP28" s="46">
        <f t="shared" si="17"/>
        <v>0</v>
      </c>
      <c r="AQ28" s="46">
        <f t="shared" si="18"/>
        <v>0</v>
      </c>
      <c r="AR28" s="46">
        <f t="shared" si="19"/>
        <v>0</v>
      </c>
      <c r="AS28" s="46">
        <f t="shared" si="20"/>
        <v>0</v>
      </c>
      <c r="AT28" s="46">
        <f t="shared" si="21"/>
        <v>0</v>
      </c>
      <c r="AU28" s="47">
        <f t="shared" si="22"/>
        <v>0</v>
      </c>
      <c r="AV28" s="47">
        <f t="shared" si="23"/>
        <v>0</v>
      </c>
      <c r="AW28" s="47">
        <f t="shared" si="24"/>
        <v>0</v>
      </c>
      <c r="AX28" s="47">
        <f t="shared" si="25"/>
        <v>0</v>
      </c>
      <c r="AY28" s="47">
        <f t="shared" si="26"/>
        <v>0</v>
      </c>
      <c r="AZ28" s="47">
        <f t="shared" si="27"/>
        <v>0</v>
      </c>
      <c r="BA28" s="47">
        <f t="shared" si="28"/>
        <v>0</v>
      </c>
      <c r="BB28" s="47">
        <f t="shared" si="29"/>
        <v>0</v>
      </c>
      <c r="BC28" s="47">
        <f t="shared" si="30"/>
        <v>0</v>
      </c>
      <c r="BD28" s="90">
        <f t="shared" si="31"/>
        <v>0</v>
      </c>
      <c r="BE28" s="90">
        <f t="shared" si="32"/>
        <v>0</v>
      </c>
      <c r="BF28" s="90">
        <f t="shared" si="33"/>
        <v>0</v>
      </c>
      <c r="BG28" s="90">
        <f t="shared" si="34"/>
        <v>0</v>
      </c>
      <c r="BH28" s="90">
        <f t="shared" si="35"/>
        <v>0</v>
      </c>
    </row>
    <row r="29" spans="1:60" x14ac:dyDescent="0.25">
      <c r="A29" s="44">
        <f>'2015 Pension Calculation'!E45</f>
        <v>0</v>
      </c>
      <c r="B29" s="45">
        <v>26</v>
      </c>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6">
        <f>$A29*Variables!$C$2</f>
        <v>0</v>
      </c>
      <c r="AC29" s="46">
        <f t="shared" si="4"/>
        <v>0</v>
      </c>
      <c r="AD29" s="46">
        <f t="shared" si="5"/>
        <v>0</v>
      </c>
      <c r="AE29" s="46">
        <f t="shared" si="6"/>
        <v>0</v>
      </c>
      <c r="AF29" s="46">
        <f t="shared" si="7"/>
        <v>0</v>
      </c>
      <c r="AG29" s="46">
        <f t="shared" si="8"/>
        <v>0</v>
      </c>
      <c r="AH29" s="46">
        <f t="shared" si="9"/>
        <v>0</v>
      </c>
      <c r="AI29" s="46">
        <f t="shared" si="10"/>
        <v>0</v>
      </c>
      <c r="AJ29" s="46">
        <f t="shared" si="11"/>
        <v>0</v>
      </c>
      <c r="AK29" s="46">
        <f t="shared" si="12"/>
        <v>0</v>
      </c>
      <c r="AL29" s="46">
        <f t="shared" si="13"/>
        <v>0</v>
      </c>
      <c r="AM29" s="46">
        <f t="shared" si="14"/>
        <v>0</v>
      </c>
      <c r="AN29" s="46">
        <f t="shared" si="15"/>
        <v>0</v>
      </c>
      <c r="AO29" s="46">
        <f t="shared" si="16"/>
        <v>0</v>
      </c>
      <c r="AP29" s="46">
        <f t="shared" si="17"/>
        <v>0</v>
      </c>
      <c r="AQ29" s="46">
        <f t="shared" si="18"/>
        <v>0</v>
      </c>
      <c r="AR29" s="46">
        <f t="shared" si="19"/>
        <v>0</v>
      </c>
      <c r="AS29" s="46">
        <f t="shared" si="20"/>
        <v>0</v>
      </c>
      <c r="AT29" s="46">
        <f t="shared" si="21"/>
        <v>0</v>
      </c>
      <c r="AU29" s="47">
        <f t="shared" si="22"/>
        <v>0</v>
      </c>
      <c r="AV29" s="47">
        <f t="shared" si="23"/>
        <v>0</v>
      </c>
      <c r="AW29" s="47">
        <f t="shared" si="24"/>
        <v>0</v>
      </c>
      <c r="AX29" s="47">
        <f t="shared" si="25"/>
        <v>0</v>
      </c>
      <c r="AY29" s="47">
        <f t="shared" si="26"/>
        <v>0</v>
      </c>
      <c r="AZ29" s="47">
        <f t="shared" si="27"/>
        <v>0</v>
      </c>
      <c r="BA29" s="47">
        <f t="shared" si="28"/>
        <v>0</v>
      </c>
      <c r="BB29" s="47">
        <f t="shared" si="29"/>
        <v>0</v>
      </c>
      <c r="BC29" s="47">
        <f t="shared" si="30"/>
        <v>0</v>
      </c>
      <c r="BD29" s="90">
        <f t="shared" si="31"/>
        <v>0</v>
      </c>
      <c r="BE29" s="90">
        <f t="shared" si="32"/>
        <v>0</v>
      </c>
      <c r="BF29" s="90">
        <f t="shared" si="33"/>
        <v>0</v>
      </c>
      <c r="BG29" s="90">
        <f t="shared" si="34"/>
        <v>0</v>
      </c>
      <c r="BH29" s="90">
        <f t="shared" si="35"/>
        <v>0</v>
      </c>
    </row>
    <row r="30" spans="1:60" x14ac:dyDescent="0.25">
      <c r="A30" s="44">
        <f>'2015 Pension Calculation'!E46</f>
        <v>0</v>
      </c>
      <c r="B30" s="45">
        <v>27</v>
      </c>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6">
        <f>$A30*Variables!$C$2</f>
        <v>0</v>
      </c>
      <c r="AD30" s="46">
        <f t="shared" si="5"/>
        <v>0</v>
      </c>
      <c r="AE30" s="46">
        <f t="shared" si="6"/>
        <v>0</v>
      </c>
      <c r="AF30" s="46">
        <f t="shared" si="7"/>
        <v>0</v>
      </c>
      <c r="AG30" s="46">
        <f t="shared" si="8"/>
        <v>0</v>
      </c>
      <c r="AH30" s="46">
        <f t="shared" si="9"/>
        <v>0</v>
      </c>
      <c r="AI30" s="46">
        <f t="shared" si="10"/>
        <v>0</v>
      </c>
      <c r="AJ30" s="46">
        <f t="shared" si="11"/>
        <v>0</v>
      </c>
      <c r="AK30" s="46">
        <f t="shared" si="12"/>
        <v>0</v>
      </c>
      <c r="AL30" s="46">
        <f t="shared" si="13"/>
        <v>0</v>
      </c>
      <c r="AM30" s="46">
        <f t="shared" si="14"/>
        <v>0</v>
      </c>
      <c r="AN30" s="46">
        <f t="shared" si="15"/>
        <v>0</v>
      </c>
      <c r="AO30" s="46">
        <f t="shared" si="16"/>
        <v>0</v>
      </c>
      <c r="AP30" s="46">
        <f t="shared" si="17"/>
        <v>0</v>
      </c>
      <c r="AQ30" s="46">
        <f t="shared" si="18"/>
        <v>0</v>
      </c>
      <c r="AR30" s="46">
        <f t="shared" si="19"/>
        <v>0</v>
      </c>
      <c r="AS30" s="46">
        <f t="shared" si="20"/>
        <v>0</v>
      </c>
      <c r="AT30" s="46">
        <f t="shared" si="21"/>
        <v>0</v>
      </c>
      <c r="AU30" s="47">
        <f t="shared" si="22"/>
        <v>0</v>
      </c>
      <c r="AV30" s="47">
        <f t="shared" si="23"/>
        <v>0</v>
      </c>
      <c r="AW30" s="47">
        <f t="shared" si="24"/>
        <v>0</v>
      </c>
      <c r="AX30" s="47">
        <f t="shared" si="25"/>
        <v>0</v>
      </c>
      <c r="AY30" s="47">
        <f t="shared" si="26"/>
        <v>0</v>
      </c>
      <c r="AZ30" s="47">
        <f t="shared" si="27"/>
        <v>0</v>
      </c>
      <c r="BA30" s="47">
        <f t="shared" si="28"/>
        <v>0</v>
      </c>
      <c r="BB30" s="47">
        <f t="shared" si="29"/>
        <v>0</v>
      </c>
      <c r="BC30" s="47">
        <f t="shared" si="30"/>
        <v>0</v>
      </c>
      <c r="BD30" s="90">
        <f t="shared" si="31"/>
        <v>0</v>
      </c>
      <c r="BE30" s="90">
        <f t="shared" si="32"/>
        <v>0</v>
      </c>
      <c r="BF30" s="90">
        <f t="shared" si="33"/>
        <v>0</v>
      </c>
      <c r="BG30" s="90">
        <f t="shared" si="34"/>
        <v>0</v>
      </c>
      <c r="BH30" s="90">
        <f t="shared" si="35"/>
        <v>0</v>
      </c>
    </row>
    <row r="31" spans="1:60" x14ac:dyDescent="0.25">
      <c r="A31" s="44">
        <f>'2015 Pension Calculation'!E47</f>
        <v>0</v>
      </c>
      <c r="B31" s="45">
        <v>28</v>
      </c>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6">
        <f>$A31*Variables!$C$2</f>
        <v>0</v>
      </c>
      <c r="AE31" s="46">
        <f t="shared" si="6"/>
        <v>0</v>
      </c>
      <c r="AF31" s="46">
        <f t="shared" si="7"/>
        <v>0</v>
      </c>
      <c r="AG31" s="46">
        <f t="shared" si="8"/>
        <v>0</v>
      </c>
      <c r="AH31" s="46">
        <f t="shared" si="9"/>
        <v>0</v>
      </c>
      <c r="AI31" s="46">
        <f t="shared" si="10"/>
        <v>0</v>
      </c>
      <c r="AJ31" s="46">
        <f t="shared" si="11"/>
        <v>0</v>
      </c>
      <c r="AK31" s="46">
        <f t="shared" si="12"/>
        <v>0</v>
      </c>
      <c r="AL31" s="46">
        <f t="shared" si="13"/>
        <v>0</v>
      </c>
      <c r="AM31" s="46">
        <f t="shared" si="14"/>
        <v>0</v>
      </c>
      <c r="AN31" s="46">
        <f t="shared" si="15"/>
        <v>0</v>
      </c>
      <c r="AO31" s="46">
        <f t="shared" si="16"/>
        <v>0</v>
      </c>
      <c r="AP31" s="46">
        <f t="shared" si="17"/>
        <v>0</v>
      </c>
      <c r="AQ31" s="46">
        <f t="shared" si="18"/>
        <v>0</v>
      </c>
      <c r="AR31" s="46">
        <f t="shared" si="19"/>
        <v>0</v>
      </c>
      <c r="AS31" s="46">
        <f t="shared" si="20"/>
        <v>0</v>
      </c>
      <c r="AT31" s="46">
        <f t="shared" si="21"/>
        <v>0</v>
      </c>
      <c r="AU31" s="47">
        <f>(AT31*$A$1)+AT31</f>
        <v>0</v>
      </c>
      <c r="AV31" s="47">
        <f t="shared" ref="AV31:BF31" si="52">(AU31*$A$1)+AU31</f>
        <v>0</v>
      </c>
      <c r="AW31" s="47">
        <f t="shared" si="24"/>
        <v>0</v>
      </c>
      <c r="AX31" s="47">
        <f t="shared" si="52"/>
        <v>0</v>
      </c>
      <c r="AY31" s="47">
        <f t="shared" si="52"/>
        <v>0</v>
      </c>
      <c r="AZ31" s="47">
        <f t="shared" si="52"/>
        <v>0</v>
      </c>
      <c r="BA31" s="47">
        <f t="shared" si="52"/>
        <v>0</v>
      </c>
      <c r="BB31" s="47">
        <f t="shared" si="52"/>
        <v>0</v>
      </c>
      <c r="BC31" s="47">
        <f t="shared" si="52"/>
        <v>0</v>
      </c>
      <c r="BD31" s="90">
        <f t="shared" si="52"/>
        <v>0</v>
      </c>
      <c r="BE31" s="90">
        <f t="shared" si="52"/>
        <v>0</v>
      </c>
      <c r="BF31" s="90">
        <f t="shared" si="52"/>
        <v>0</v>
      </c>
      <c r="BG31" s="90">
        <f t="shared" si="34"/>
        <v>0</v>
      </c>
      <c r="BH31" s="90">
        <f t="shared" si="35"/>
        <v>0</v>
      </c>
    </row>
    <row r="32" spans="1:60" x14ac:dyDescent="0.25">
      <c r="A32" s="44">
        <f>'2015 Pension Calculation'!E48</f>
        <v>0</v>
      </c>
      <c r="B32" s="45">
        <v>29</v>
      </c>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6">
        <f>$A32*Variables!$C$2</f>
        <v>0</v>
      </c>
      <c r="AF32" s="46">
        <f t="shared" si="7"/>
        <v>0</v>
      </c>
      <c r="AG32" s="46">
        <f t="shared" si="8"/>
        <v>0</v>
      </c>
      <c r="AH32" s="46">
        <f t="shared" si="9"/>
        <v>0</v>
      </c>
      <c r="AI32" s="46">
        <f t="shared" si="10"/>
        <v>0</v>
      </c>
      <c r="AJ32" s="46">
        <f t="shared" si="11"/>
        <v>0</v>
      </c>
      <c r="AK32" s="46">
        <f t="shared" si="12"/>
        <v>0</v>
      </c>
      <c r="AL32" s="46">
        <f t="shared" si="13"/>
        <v>0</v>
      </c>
      <c r="AM32" s="46">
        <f t="shared" si="14"/>
        <v>0</v>
      </c>
      <c r="AN32" s="46">
        <f t="shared" si="15"/>
        <v>0</v>
      </c>
      <c r="AO32" s="46">
        <f t="shared" si="16"/>
        <v>0</v>
      </c>
      <c r="AP32" s="46">
        <f t="shared" si="17"/>
        <v>0</v>
      </c>
      <c r="AQ32" s="46">
        <f t="shared" si="18"/>
        <v>0</v>
      </c>
      <c r="AR32" s="46">
        <f t="shared" si="19"/>
        <v>0</v>
      </c>
      <c r="AS32" s="46">
        <f t="shared" si="20"/>
        <v>0</v>
      </c>
      <c r="AT32" s="46">
        <f t="shared" si="21"/>
        <v>0</v>
      </c>
      <c r="AU32" s="47">
        <f t="shared" si="22"/>
        <v>0</v>
      </c>
      <c r="AV32" s="47">
        <f t="shared" si="22"/>
        <v>0</v>
      </c>
      <c r="AW32" s="47">
        <f t="shared" si="24"/>
        <v>0</v>
      </c>
      <c r="AX32" s="47">
        <f t="shared" si="22"/>
        <v>0</v>
      </c>
      <c r="AY32" s="47">
        <f t="shared" si="22"/>
        <v>0</v>
      </c>
      <c r="AZ32" s="47">
        <f t="shared" si="22"/>
        <v>0</v>
      </c>
      <c r="BA32" s="47">
        <f t="shared" si="22"/>
        <v>0</v>
      </c>
      <c r="BB32" s="47">
        <f t="shared" si="22"/>
        <v>0</v>
      </c>
      <c r="BC32" s="47">
        <f t="shared" si="22"/>
        <v>0</v>
      </c>
      <c r="BD32" s="90">
        <f t="shared" si="22"/>
        <v>0</v>
      </c>
      <c r="BE32" s="90">
        <f t="shared" si="22"/>
        <v>0</v>
      </c>
      <c r="BF32" s="90">
        <f t="shared" si="22"/>
        <v>0</v>
      </c>
      <c r="BG32" s="90">
        <f t="shared" si="34"/>
        <v>0</v>
      </c>
      <c r="BH32" s="90">
        <f t="shared" si="35"/>
        <v>0</v>
      </c>
    </row>
    <row r="33" spans="1:60" x14ac:dyDescent="0.25">
      <c r="A33" s="44">
        <f>'2015 Pension Calculation'!E49</f>
        <v>0</v>
      </c>
      <c r="B33" s="45">
        <v>30</v>
      </c>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6">
        <f>$A33*Variables!$C$2</f>
        <v>0</v>
      </c>
      <c r="AG33" s="46">
        <f t="shared" si="8"/>
        <v>0</v>
      </c>
      <c r="AH33" s="46">
        <f t="shared" si="9"/>
        <v>0</v>
      </c>
      <c r="AI33" s="46">
        <f t="shared" si="10"/>
        <v>0</v>
      </c>
      <c r="AJ33" s="46">
        <f t="shared" si="11"/>
        <v>0</v>
      </c>
      <c r="AK33" s="46">
        <f t="shared" si="12"/>
        <v>0</v>
      </c>
      <c r="AL33" s="46">
        <f t="shared" si="13"/>
        <v>0</v>
      </c>
      <c r="AM33" s="46">
        <f t="shared" si="14"/>
        <v>0</v>
      </c>
      <c r="AN33" s="46">
        <f t="shared" si="15"/>
        <v>0</v>
      </c>
      <c r="AO33" s="46">
        <f t="shared" si="16"/>
        <v>0</v>
      </c>
      <c r="AP33" s="46">
        <f t="shared" si="17"/>
        <v>0</v>
      </c>
      <c r="AQ33" s="46">
        <f t="shared" si="18"/>
        <v>0</v>
      </c>
      <c r="AR33" s="46">
        <f t="shared" si="19"/>
        <v>0</v>
      </c>
      <c r="AS33" s="46">
        <f t="shared" si="20"/>
        <v>0</v>
      </c>
      <c r="AT33" s="46">
        <f t="shared" si="21"/>
        <v>0</v>
      </c>
      <c r="AU33" s="47">
        <f t="shared" si="22"/>
        <v>0</v>
      </c>
      <c r="AV33" s="47">
        <f t="shared" si="22"/>
        <v>0</v>
      </c>
      <c r="AW33" s="47">
        <f t="shared" si="24"/>
        <v>0</v>
      </c>
      <c r="AX33" s="47">
        <f t="shared" si="22"/>
        <v>0</v>
      </c>
      <c r="AY33" s="47">
        <f t="shared" si="22"/>
        <v>0</v>
      </c>
      <c r="AZ33" s="47">
        <f t="shared" si="22"/>
        <v>0</v>
      </c>
      <c r="BA33" s="47">
        <f t="shared" si="22"/>
        <v>0</v>
      </c>
      <c r="BB33" s="47">
        <f t="shared" si="22"/>
        <v>0</v>
      </c>
      <c r="BC33" s="47">
        <f t="shared" si="22"/>
        <v>0</v>
      </c>
      <c r="BD33" s="90">
        <f t="shared" si="22"/>
        <v>0</v>
      </c>
      <c r="BE33" s="90">
        <f t="shared" si="22"/>
        <v>0</v>
      </c>
      <c r="BF33" s="90">
        <f t="shared" si="22"/>
        <v>0</v>
      </c>
      <c r="BG33" s="90">
        <f t="shared" si="34"/>
        <v>0</v>
      </c>
      <c r="BH33" s="90">
        <f t="shared" si="35"/>
        <v>0</v>
      </c>
    </row>
    <row r="34" spans="1:60" x14ac:dyDescent="0.25">
      <c r="A34" s="44">
        <f>'2015 Pension Calculation'!E50</f>
        <v>0</v>
      </c>
      <c r="B34" s="45">
        <v>31</v>
      </c>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6">
        <f>$A34*Variables!$C$2</f>
        <v>0</v>
      </c>
      <c r="AH34" s="46">
        <f t="shared" si="9"/>
        <v>0</v>
      </c>
      <c r="AI34" s="46">
        <f t="shared" si="10"/>
        <v>0</v>
      </c>
      <c r="AJ34" s="46">
        <f t="shared" si="11"/>
        <v>0</v>
      </c>
      <c r="AK34" s="46">
        <f t="shared" si="12"/>
        <v>0</v>
      </c>
      <c r="AL34" s="46">
        <f t="shared" si="13"/>
        <v>0</v>
      </c>
      <c r="AM34" s="46">
        <f t="shared" si="14"/>
        <v>0</v>
      </c>
      <c r="AN34" s="46">
        <f t="shared" si="15"/>
        <v>0</v>
      </c>
      <c r="AO34" s="46">
        <f t="shared" si="16"/>
        <v>0</v>
      </c>
      <c r="AP34" s="46">
        <f t="shared" si="17"/>
        <v>0</v>
      </c>
      <c r="AQ34" s="46">
        <f t="shared" si="18"/>
        <v>0</v>
      </c>
      <c r="AR34" s="46">
        <f t="shared" si="19"/>
        <v>0</v>
      </c>
      <c r="AS34" s="46">
        <f t="shared" si="20"/>
        <v>0</v>
      </c>
      <c r="AT34" s="46">
        <f t="shared" si="21"/>
        <v>0</v>
      </c>
      <c r="AU34" s="47">
        <f t="shared" si="22"/>
        <v>0</v>
      </c>
      <c r="AV34" s="47">
        <f t="shared" si="22"/>
        <v>0</v>
      </c>
      <c r="AW34" s="47">
        <f t="shared" si="24"/>
        <v>0</v>
      </c>
      <c r="AX34" s="47">
        <f t="shared" si="22"/>
        <v>0</v>
      </c>
      <c r="AY34" s="47">
        <f t="shared" si="22"/>
        <v>0</v>
      </c>
      <c r="AZ34" s="47">
        <f t="shared" si="22"/>
        <v>0</v>
      </c>
      <c r="BA34" s="47">
        <f t="shared" si="22"/>
        <v>0</v>
      </c>
      <c r="BB34" s="47">
        <f t="shared" si="22"/>
        <v>0</v>
      </c>
      <c r="BC34" s="47">
        <f t="shared" si="22"/>
        <v>0</v>
      </c>
      <c r="BD34" s="90">
        <f t="shared" si="22"/>
        <v>0</v>
      </c>
      <c r="BE34" s="90">
        <f t="shared" si="22"/>
        <v>0</v>
      </c>
      <c r="BF34" s="90">
        <f t="shared" si="22"/>
        <v>0</v>
      </c>
      <c r="BG34" s="90">
        <f t="shared" si="34"/>
        <v>0</v>
      </c>
      <c r="BH34" s="90">
        <f t="shared" si="35"/>
        <v>0</v>
      </c>
    </row>
    <row r="35" spans="1:60" x14ac:dyDescent="0.25">
      <c r="A35" s="44">
        <f>'2015 Pension Calculation'!E51</f>
        <v>0</v>
      </c>
      <c r="B35" s="45">
        <v>32</v>
      </c>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6">
        <f>$A35*Variables!$C$2</f>
        <v>0</v>
      </c>
      <c r="AI35" s="46">
        <f t="shared" si="10"/>
        <v>0</v>
      </c>
      <c r="AJ35" s="46">
        <f t="shared" si="11"/>
        <v>0</v>
      </c>
      <c r="AK35" s="46">
        <f t="shared" si="12"/>
        <v>0</v>
      </c>
      <c r="AL35" s="46">
        <f t="shared" si="13"/>
        <v>0</v>
      </c>
      <c r="AM35" s="46">
        <f t="shared" si="14"/>
        <v>0</v>
      </c>
      <c r="AN35" s="46">
        <f t="shared" si="15"/>
        <v>0</v>
      </c>
      <c r="AO35" s="46">
        <f t="shared" si="16"/>
        <v>0</v>
      </c>
      <c r="AP35" s="46">
        <f t="shared" si="17"/>
        <v>0</v>
      </c>
      <c r="AQ35" s="46">
        <f t="shared" si="18"/>
        <v>0</v>
      </c>
      <c r="AR35" s="46">
        <f t="shared" si="19"/>
        <v>0</v>
      </c>
      <c r="AS35" s="46">
        <f t="shared" si="20"/>
        <v>0</v>
      </c>
      <c r="AT35" s="46">
        <f t="shared" si="21"/>
        <v>0</v>
      </c>
      <c r="AU35" s="47">
        <f t="shared" si="22"/>
        <v>0</v>
      </c>
      <c r="AV35" s="47">
        <f t="shared" si="22"/>
        <v>0</v>
      </c>
      <c r="AW35" s="47">
        <f t="shared" si="24"/>
        <v>0</v>
      </c>
      <c r="AX35" s="47">
        <f t="shared" si="22"/>
        <v>0</v>
      </c>
      <c r="AY35" s="47">
        <f t="shared" si="22"/>
        <v>0</v>
      </c>
      <c r="AZ35" s="47">
        <f t="shared" si="22"/>
        <v>0</v>
      </c>
      <c r="BA35" s="47">
        <f t="shared" si="22"/>
        <v>0</v>
      </c>
      <c r="BB35" s="47">
        <f t="shared" si="22"/>
        <v>0</v>
      </c>
      <c r="BC35" s="47">
        <f t="shared" si="22"/>
        <v>0</v>
      </c>
      <c r="BD35" s="90">
        <f t="shared" si="22"/>
        <v>0</v>
      </c>
      <c r="BE35" s="90">
        <f t="shared" si="22"/>
        <v>0</v>
      </c>
      <c r="BF35" s="90">
        <f t="shared" si="22"/>
        <v>0</v>
      </c>
      <c r="BG35" s="90">
        <f t="shared" si="34"/>
        <v>0</v>
      </c>
      <c r="BH35" s="90">
        <f t="shared" si="35"/>
        <v>0</v>
      </c>
    </row>
    <row r="36" spans="1:60" x14ac:dyDescent="0.25">
      <c r="A36" s="44">
        <f>'2015 Pension Calculation'!E52</f>
        <v>0</v>
      </c>
      <c r="B36" s="45">
        <v>33</v>
      </c>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6">
        <f>$A36*Variables!$C$2</f>
        <v>0</v>
      </c>
      <c r="AJ36" s="46">
        <f t="shared" si="11"/>
        <v>0</v>
      </c>
      <c r="AK36" s="46">
        <f t="shared" si="12"/>
        <v>0</v>
      </c>
      <c r="AL36" s="46">
        <f t="shared" si="13"/>
        <v>0</v>
      </c>
      <c r="AM36" s="46">
        <f t="shared" si="14"/>
        <v>0</v>
      </c>
      <c r="AN36" s="46">
        <f t="shared" si="15"/>
        <v>0</v>
      </c>
      <c r="AO36" s="46">
        <f t="shared" si="16"/>
        <v>0</v>
      </c>
      <c r="AP36" s="46">
        <f t="shared" si="17"/>
        <v>0</v>
      </c>
      <c r="AQ36" s="46">
        <f t="shared" si="18"/>
        <v>0</v>
      </c>
      <c r="AR36" s="46">
        <f t="shared" si="19"/>
        <v>0</v>
      </c>
      <c r="AS36" s="46">
        <f t="shared" si="20"/>
        <v>0</v>
      </c>
      <c r="AT36" s="46">
        <f t="shared" si="21"/>
        <v>0</v>
      </c>
      <c r="AU36" s="47">
        <f t="shared" si="22"/>
        <v>0</v>
      </c>
      <c r="AV36" s="47">
        <f t="shared" si="22"/>
        <v>0</v>
      </c>
      <c r="AW36" s="47">
        <f t="shared" si="24"/>
        <v>0</v>
      </c>
      <c r="AX36" s="47">
        <f t="shared" si="22"/>
        <v>0</v>
      </c>
      <c r="AY36" s="47">
        <f t="shared" si="22"/>
        <v>0</v>
      </c>
      <c r="AZ36" s="47">
        <f t="shared" si="22"/>
        <v>0</v>
      </c>
      <c r="BA36" s="47">
        <f t="shared" si="22"/>
        <v>0</v>
      </c>
      <c r="BB36" s="47">
        <f t="shared" si="22"/>
        <v>0</v>
      </c>
      <c r="BC36" s="47">
        <f t="shared" si="22"/>
        <v>0</v>
      </c>
      <c r="BD36" s="90">
        <f t="shared" si="22"/>
        <v>0</v>
      </c>
      <c r="BE36" s="90">
        <f t="shared" si="22"/>
        <v>0</v>
      </c>
      <c r="BF36" s="90">
        <f t="shared" si="22"/>
        <v>0</v>
      </c>
      <c r="BG36" s="90">
        <f t="shared" si="34"/>
        <v>0</v>
      </c>
      <c r="BH36" s="90">
        <f t="shared" si="35"/>
        <v>0</v>
      </c>
    </row>
    <row r="37" spans="1:60" x14ac:dyDescent="0.25">
      <c r="A37" s="44">
        <f>'2015 Pension Calculation'!E53</f>
        <v>0</v>
      </c>
      <c r="B37" s="45">
        <v>34</v>
      </c>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6">
        <f>$A37*Variables!$C$2</f>
        <v>0</v>
      </c>
      <c r="AK37" s="46">
        <f t="shared" si="12"/>
        <v>0</v>
      </c>
      <c r="AL37" s="46">
        <f t="shared" si="13"/>
        <v>0</v>
      </c>
      <c r="AM37" s="46">
        <f t="shared" si="14"/>
        <v>0</v>
      </c>
      <c r="AN37" s="46">
        <f t="shared" si="15"/>
        <v>0</v>
      </c>
      <c r="AO37" s="46">
        <f t="shared" si="16"/>
        <v>0</v>
      </c>
      <c r="AP37" s="46">
        <f t="shared" si="17"/>
        <v>0</v>
      </c>
      <c r="AQ37" s="46">
        <f t="shared" si="18"/>
        <v>0</v>
      </c>
      <c r="AR37" s="46">
        <f t="shared" si="19"/>
        <v>0</v>
      </c>
      <c r="AS37" s="46">
        <f t="shared" si="20"/>
        <v>0</v>
      </c>
      <c r="AT37" s="46">
        <f t="shared" si="21"/>
        <v>0</v>
      </c>
      <c r="AU37" s="47">
        <f t="shared" si="22"/>
        <v>0</v>
      </c>
      <c r="AV37" s="47">
        <f t="shared" si="22"/>
        <v>0</v>
      </c>
      <c r="AW37" s="47">
        <f t="shared" si="24"/>
        <v>0</v>
      </c>
      <c r="AX37" s="47">
        <f t="shared" si="22"/>
        <v>0</v>
      </c>
      <c r="AY37" s="47">
        <f t="shared" si="22"/>
        <v>0</v>
      </c>
      <c r="AZ37" s="47">
        <f t="shared" si="22"/>
        <v>0</v>
      </c>
      <c r="BA37" s="47">
        <f t="shared" si="22"/>
        <v>0</v>
      </c>
      <c r="BB37" s="47">
        <f t="shared" si="22"/>
        <v>0</v>
      </c>
      <c r="BC37" s="47">
        <f t="shared" si="22"/>
        <v>0</v>
      </c>
      <c r="BD37" s="90">
        <f t="shared" si="22"/>
        <v>0</v>
      </c>
      <c r="BE37" s="90">
        <f t="shared" si="22"/>
        <v>0</v>
      </c>
      <c r="BF37" s="90">
        <f t="shared" si="22"/>
        <v>0</v>
      </c>
      <c r="BG37" s="90">
        <f t="shared" si="34"/>
        <v>0</v>
      </c>
      <c r="BH37" s="90">
        <f t="shared" si="35"/>
        <v>0</v>
      </c>
    </row>
    <row r="38" spans="1:60" x14ac:dyDescent="0.25">
      <c r="A38" s="44">
        <f>'2015 Pension Calculation'!E54</f>
        <v>0</v>
      </c>
      <c r="B38" s="45">
        <v>35</v>
      </c>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6">
        <f>$A38*Variables!$C$2</f>
        <v>0</v>
      </c>
      <c r="AL38" s="46">
        <f t="shared" si="13"/>
        <v>0</v>
      </c>
      <c r="AM38" s="46">
        <f t="shared" si="14"/>
        <v>0</v>
      </c>
      <c r="AN38" s="46">
        <f t="shared" si="15"/>
        <v>0</v>
      </c>
      <c r="AO38" s="46">
        <f t="shared" si="16"/>
        <v>0</v>
      </c>
      <c r="AP38" s="46">
        <f t="shared" si="17"/>
        <v>0</v>
      </c>
      <c r="AQ38" s="46">
        <f t="shared" si="18"/>
        <v>0</v>
      </c>
      <c r="AR38" s="46">
        <f t="shared" si="19"/>
        <v>0</v>
      </c>
      <c r="AS38" s="46">
        <f t="shared" si="20"/>
        <v>0</v>
      </c>
      <c r="AT38" s="46">
        <f t="shared" si="21"/>
        <v>0</v>
      </c>
      <c r="AU38" s="47">
        <f t="shared" si="22"/>
        <v>0</v>
      </c>
      <c r="AV38" s="47">
        <f t="shared" si="22"/>
        <v>0</v>
      </c>
      <c r="AW38" s="47">
        <f t="shared" si="24"/>
        <v>0</v>
      </c>
      <c r="AX38" s="47">
        <f t="shared" si="22"/>
        <v>0</v>
      </c>
      <c r="AY38" s="47">
        <f t="shared" si="22"/>
        <v>0</v>
      </c>
      <c r="AZ38" s="47">
        <f t="shared" si="22"/>
        <v>0</v>
      </c>
      <c r="BA38" s="47">
        <f t="shared" si="22"/>
        <v>0</v>
      </c>
      <c r="BB38" s="47">
        <f t="shared" si="22"/>
        <v>0</v>
      </c>
      <c r="BC38" s="47">
        <f t="shared" si="22"/>
        <v>0</v>
      </c>
      <c r="BD38" s="90">
        <f t="shared" si="22"/>
        <v>0</v>
      </c>
      <c r="BE38" s="90">
        <f t="shared" si="22"/>
        <v>0</v>
      </c>
      <c r="BF38" s="90">
        <f t="shared" si="22"/>
        <v>0</v>
      </c>
      <c r="BG38" s="90">
        <f t="shared" si="34"/>
        <v>0</v>
      </c>
      <c r="BH38" s="90">
        <f t="shared" si="35"/>
        <v>0</v>
      </c>
    </row>
    <row r="39" spans="1:60" x14ac:dyDescent="0.25">
      <c r="A39" s="44">
        <f>'2015 Pension Calculation'!E55</f>
        <v>0</v>
      </c>
      <c r="B39" s="45">
        <v>36</v>
      </c>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6">
        <f>$A39*Variables!$C$2</f>
        <v>0</v>
      </c>
      <c r="AM39" s="46">
        <f t="shared" si="14"/>
        <v>0</v>
      </c>
      <c r="AN39" s="46">
        <f t="shared" si="15"/>
        <v>0</v>
      </c>
      <c r="AO39" s="46">
        <f t="shared" si="16"/>
        <v>0</v>
      </c>
      <c r="AP39" s="46">
        <f t="shared" si="17"/>
        <v>0</v>
      </c>
      <c r="AQ39" s="46">
        <f t="shared" si="18"/>
        <v>0</v>
      </c>
      <c r="AR39" s="46">
        <f t="shared" si="19"/>
        <v>0</v>
      </c>
      <c r="AS39" s="46">
        <f t="shared" si="20"/>
        <v>0</v>
      </c>
      <c r="AT39" s="46">
        <f t="shared" si="21"/>
        <v>0</v>
      </c>
      <c r="AU39" s="47">
        <f t="shared" si="22"/>
        <v>0</v>
      </c>
      <c r="AV39" s="47">
        <f t="shared" si="22"/>
        <v>0</v>
      </c>
      <c r="AW39" s="47">
        <f t="shared" si="24"/>
        <v>0</v>
      </c>
      <c r="AX39" s="47">
        <f t="shared" si="22"/>
        <v>0</v>
      </c>
      <c r="AY39" s="47">
        <f t="shared" si="22"/>
        <v>0</v>
      </c>
      <c r="AZ39" s="47">
        <f t="shared" si="22"/>
        <v>0</v>
      </c>
      <c r="BA39" s="47">
        <f t="shared" si="22"/>
        <v>0</v>
      </c>
      <c r="BB39" s="47">
        <f t="shared" si="22"/>
        <v>0</v>
      </c>
      <c r="BC39" s="47">
        <f t="shared" si="22"/>
        <v>0</v>
      </c>
      <c r="BD39" s="90">
        <f t="shared" si="22"/>
        <v>0</v>
      </c>
      <c r="BE39" s="90">
        <f t="shared" si="22"/>
        <v>0</v>
      </c>
      <c r="BF39" s="90">
        <f t="shared" si="22"/>
        <v>0</v>
      </c>
      <c r="BG39" s="90">
        <f t="shared" si="34"/>
        <v>0</v>
      </c>
      <c r="BH39" s="90">
        <f t="shared" si="35"/>
        <v>0</v>
      </c>
    </row>
    <row r="40" spans="1:60" x14ac:dyDescent="0.25">
      <c r="A40" s="44">
        <f>'2015 Pension Calculation'!E56</f>
        <v>0</v>
      </c>
      <c r="B40" s="45">
        <v>37</v>
      </c>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6">
        <f>$A40*Variables!$C$2</f>
        <v>0</v>
      </c>
      <c r="AN40" s="46">
        <f t="shared" si="15"/>
        <v>0</v>
      </c>
      <c r="AO40" s="46">
        <f t="shared" si="16"/>
        <v>0</v>
      </c>
      <c r="AP40" s="46">
        <f t="shared" si="17"/>
        <v>0</v>
      </c>
      <c r="AQ40" s="46">
        <f t="shared" si="18"/>
        <v>0</v>
      </c>
      <c r="AR40" s="46">
        <f t="shared" si="19"/>
        <v>0</v>
      </c>
      <c r="AS40" s="46">
        <f t="shared" si="20"/>
        <v>0</v>
      </c>
      <c r="AT40" s="46">
        <f t="shared" si="21"/>
        <v>0</v>
      </c>
      <c r="AU40" s="47">
        <f t="shared" si="22"/>
        <v>0</v>
      </c>
      <c r="AV40" s="47">
        <f t="shared" si="22"/>
        <v>0</v>
      </c>
      <c r="AW40" s="47">
        <f t="shared" si="24"/>
        <v>0</v>
      </c>
      <c r="AX40" s="47">
        <f t="shared" si="22"/>
        <v>0</v>
      </c>
      <c r="AY40" s="47">
        <f t="shared" si="22"/>
        <v>0</v>
      </c>
      <c r="AZ40" s="47">
        <f t="shared" si="22"/>
        <v>0</v>
      </c>
      <c r="BA40" s="47">
        <f t="shared" si="22"/>
        <v>0</v>
      </c>
      <c r="BB40" s="47">
        <f t="shared" si="22"/>
        <v>0</v>
      </c>
      <c r="BC40" s="47">
        <f t="shared" si="22"/>
        <v>0</v>
      </c>
      <c r="BD40" s="90">
        <f t="shared" si="22"/>
        <v>0</v>
      </c>
      <c r="BE40" s="90">
        <f t="shared" si="22"/>
        <v>0</v>
      </c>
      <c r="BF40" s="90">
        <f t="shared" si="22"/>
        <v>0</v>
      </c>
      <c r="BG40" s="90">
        <f t="shared" si="34"/>
        <v>0</v>
      </c>
      <c r="BH40" s="90">
        <f t="shared" si="35"/>
        <v>0</v>
      </c>
    </row>
    <row r="41" spans="1:60" x14ac:dyDescent="0.25">
      <c r="A41" s="44">
        <f>'2015 Pension Calculation'!E57</f>
        <v>0</v>
      </c>
      <c r="B41" s="45">
        <v>38</v>
      </c>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6">
        <f>$A41*Variables!$C$2</f>
        <v>0</v>
      </c>
      <c r="AO41" s="46">
        <f t="shared" si="16"/>
        <v>0</v>
      </c>
      <c r="AP41" s="46">
        <f t="shared" si="17"/>
        <v>0</v>
      </c>
      <c r="AQ41" s="46">
        <f t="shared" si="18"/>
        <v>0</v>
      </c>
      <c r="AR41" s="46">
        <f t="shared" si="19"/>
        <v>0</v>
      </c>
      <c r="AS41" s="46">
        <f t="shared" si="20"/>
        <v>0</v>
      </c>
      <c r="AT41" s="46">
        <f t="shared" si="21"/>
        <v>0</v>
      </c>
      <c r="AU41" s="47">
        <f t="shared" si="22"/>
        <v>0</v>
      </c>
      <c r="AV41" s="47">
        <f t="shared" si="22"/>
        <v>0</v>
      </c>
      <c r="AW41" s="47">
        <f t="shared" si="24"/>
        <v>0</v>
      </c>
      <c r="AX41" s="47">
        <f t="shared" si="22"/>
        <v>0</v>
      </c>
      <c r="AY41" s="47">
        <f t="shared" si="22"/>
        <v>0</v>
      </c>
      <c r="AZ41" s="47">
        <f t="shared" si="22"/>
        <v>0</v>
      </c>
      <c r="BA41" s="47">
        <f t="shared" si="22"/>
        <v>0</v>
      </c>
      <c r="BB41" s="47">
        <f t="shared" si="22"/>
        <v>0</v>
      </c>
      <c r="BC41" s="47">
        <f t="shared" si="22"/>
        <v>0</v>
      </c>
      <c r="BD41" s="90">
        <f t="shared" si="22"/>
        <v>0</v>
      </c>
      <c r="BE41" s="90">
        <f t="shared" si="22"/>
        <v>0</v>
      </c>
      <c r="BF41" s="90">
        <f t="shared" si="22"/>
        <v>0</v>
      </c>
      <c r="BG41" s="90">
        <f t="shared" si="34"/>
        <v>0</v>
      </c>
      <c r="BH41" s="90">
        <f t="shared" si="35"/>
        <v>0</v>
      </c>
    </row>
    <row r="42" spans="1:60" x14ac:dyDescent="0.25">
      <c r="A42" s="44">
        <f>'2015 Pension Calculation'!E58</f>
        <v>0</v>
      </c>
      <c r="B42" s="45">
        <v>39</v>
      </c>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6">
        <f>$A42*Variables!$C$2</f>
        <v>0</v>
      </c>
      <c r="AP42" s="46">
        <f t="shared" si="17"/>
        <v>0</v>
      </c>
      <c r="AQ42" s="46">
        <f t="shared" si="18"/>
        <v>0</v>
      </c>
      <c r="AR42" s="46">
        <f t="shared" si="19"/>
        <v>0</v>
      </c>
      <c r="AS42" s="46">
        <f t="shared" si="20"/>
        <v>0</v>
      </c>
      <c r="AT42" s="46">
        <f t="shared" si="21"/>
        <v>0</v>
      </c>
      <c r="AU42" s="47">
        <f t="shared" si="22"/>
        <v>0</v>
      </c>
      <c r="AV42" s="47">
        <f t="shared" si="22"/>
        <v>0</v>
      </c>
      <c r="AW42" s="47">
        <f t="shared" si="24"/>
        <v>0</v>
      </c>
      <c r="AX42" s="47">
        <f t="shared" si="22"/>
        <v>0</v>
      </c>
      <c r="AY42" s="47">
        <f t="shared" si="22"/>
        <v>0</v>
      </c>
      <c r="AZ42" s="47">
        <f t="shared" si="22"/>
        <v>0</v>
      </c>
      <c r="BA42" s="47">
        <f t="shared" si="22"/>
        <v>0</v>
      </c>
      <c r="BB42" s="47">
        <f t="shared" si="22"/>
        <v>0</v>
      </c>
      <c r="BC42" s="47">
        <f t="shared" si="22"/>
        <v>0</v>
      </c>
      <c r="BD42" s="90">
        <f t="shared" si="22"/>
        <v>0</v>
      </c>
      <c r="BE42" s="90">
        <f t="shared" si="22"/>
        <v>0</v>
      </c>
      <c r="BF42" s="90">
        <f t="shared" si="22"/>
        <v>0</v>
      </c>
      <c r="BG42" s="90">
        <f t="shared" si="34"/>
        <v>0</v>
      </c>
      <c r="BH42" s="90">
        <f t="shared" si="35"/>
        <v>0</v>
      </c>
    </row>
    <row r="43" spans="1:60" x14ac:dyDescent="0.25">
      <c r="A43" s="44">
        <f>'2015 Pension Calculation'!E59</f>
        <v>0</v>
      </c>
      <c r="B43" s="45">
        <v>40</v>
      </c>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6">
        <f>$A43*Variables!$C$2</f>
        <v>0</v>
      </c>
      <c r="AQ43" s="46">
        <f t="shared" si="18"/>
        <v>0</v>
      </c>
      <c r="AR43" s="46">
        <f t="shared" si="19"/>
        <v>0</v>
      </c>
      <c r="AS43" s="46">
        <f t="shared" si="20"/>
        <v>0</v>
      </c>
      <c r="AT43" s="46">
        <f t="shared" si="21"/>
        <v>0</v>
      </c>
      <c r="AU43" s="47">
        <f t="shared" si="22"/>
        <v>0</v>
      </c>
      <c r="AV43" s="47">
        <f t="shared" si="22"/>
        <v>0</v>
      </c>
      <c r="AW43" s="47">
        <f t="shared" si="24"/>
        <v>0</v>
      </c>
      <c r="AX43" s="47">
        <f t="shared" si="22"/>
        <v>0</v>
      </c>
      <c r="AY43" s="47">
        <f t="shared" si="22"/>
        <v>0</v>
      </c>
      <c r="AZ43" s="47">
        <f t="shared" si="22"/>
        <v>0</v>
      </c>
      <c r="BA43" s="47">
        <f t="shared" si="22"/>
        <v>0</v>
      </c>
      <c r="BB43" s="47">
        <f t="shared" si="22"/>
        <v>0</v>
      </c>
      <c r="BC43" s="47">
        <f t="shared" si="22"/>
        <v>0</v>
      </c>
      <c r="BD43" s="90">
        <f t="shared" si="22"/>
        <v>0</v>
      </c>
      <c r="BE43" s="90">
        <f t="shared" si="22"/>
        <v>0</v>
      </c>
      <c r="BF43" s="90">
        <f t="shared" si="22"/>
        <v>0</v>
      </c>
      <c r="BG43" s="90">
        <f t="shared" si="34"/>
        <v>0</v>
      </c>
      <c r="BH43" s="90">
        <f t="shared" si="35"/>
        <v>0</v>
      </c>
    </row>
    <row r="44" spans="1:60" x14ac:dyDescent="0.25">
      <c r="A44" s="44">
        <f>'2015 Pension Calculation'!E60</f>
        <v>0</v>
      </c>
      <c r="B44" s="45">
        <v>41</v>
      </c>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6">
        <f>$A44*Variables!$C$2</f>
        <v>0</v>
      </c>
      <c r="AR44" s="46">
        <f t="shared" si="19"/>
        <v>0</v>
      </c>
      <c r="AS44" s="46">
        <f t="shared" si="20"/>
        <v>0</v>
      </c>
      <c r="AT44" s="46">
        <f t="shared" si="21"/>
        <v>0</v>
      </c>
      <c r="AU44" s="47">
        <f t="shared" si="22"/>
        <v>0</v>
      </c>
      <c r="AV44" s="47">
        <f t="shared" si="22"/>
        <v>0</v>
      </c>
      <c r="AW44" s="47">
        <f t="shared" si="24"/>
        <v>0</v>
      </c>
      <c r="AX44" s="47">
        <f t="shared" si="22"/>
        <v>0</v>
      </c>
      <c r="AY44" s="47">
        <f t="shared" si="22"/>
        <v>0</v>
      </c>
      <c r="AZ44" s="47">
        <f t="shared" si="22"/>
        <v>0</v>
      </c>
      <c r="BA44" s="47">
        <f t="shared" si="22"/>
        <v>0</v>
      </c>
      <c r="BB44" s="47">
        <f t="shared" si="22"/>
        <v>0</v>
      </c>
      <c r="BC44" s="47">
        <f t="shared" si="22"/>
        <v>0</v>
      </c>
      <c r="BD44" s="90">
        <f t="shared" si="22"/>
        <v>0</v>
      </c>
      <c r="BE44" s="90">
        <f t="shared" si="22"/>
        <v>0</v>
      </c>
      <c r="BF44" s="90">
        <f t="shared" si="22"/>
        <v>0</v>
      </c>
      <c r="BG44" s="90">
        <f t="shared" si="34"/>
        <v>0</v>
      </c>
      <c r="BH44" s="90">
        <f t="shared" si="35"/>
        <v>0</v>
      </c>
    </row>
    <row r="45" spans="1:60" x14ac:dyDescent="0.25">
      <c r="A45" s="44">
        <f>'2015 Pension Calculation'!E61</f>
        <v>0</v>
      </c>
      <c r="B45" s="45">
        <v>42</v>
      </c>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6">
        <f>$A45*Variables!$C$2</f>
        <v>0</v>
      </c>
      <c r="AS45" s="46">
        <f t="shared" si="20"/>
        <v>0</v>
      </c>
      <c r="AT45" s="46">
        <f t="shared" si="21"/>
        <v>0</v>
      </c>
      <c r="AU45" s="47">
        <f t="shared" si="22"/>
        <v>0</v>
      </c>
      <c r="AV45" s="47">
        <f t="shared" si="22"/>
        <v>0</v>
      </c>
      <c r="AW45" s="47">
        <f t="shared" si="24"/>
        <v>0</v>
      </c>
      <c r="AX45" s="47">
        <f t="shared" si="22"/>
        <v>0</v>
      </c>
      <c r="AY45" s="47">
        <f t="shared" si="22"/>
        <v>0</v>
      </c>
      <c r="AZ45" s="47">
        <f t="shared" si="22"/>
        <v>0</v>
      </c>
      <c r="BA45" s="47">
        <f t="shared" si="22"/>
        <v>0</v>
      </c>
      <c r="BB45" s="47">
        <f t="shared" si="22"/>
        <v>0</v>
      </c>
      <c r="BC45" s="47">
        <f t="shared" si="22"/>
        <v>0</v>
      </c>
      <c r="BD45" s="90">
        <f t="shared" si="22"/>
        <v>0</v>
      </c>
      <c r="BE45" s="90">
        <f t="shared" si="22"/>
        <v>0</v>
      </c>
      <c r="BF45" s="90">
        <f t="shared" si="22"/>
        <v>0</v>
      </c>
      <c r="BG45" s="90">
        <f t="shared" si="34"/>
        <v>0</v>
      </c>
      <c r="BH45" s="90">
        <f t="shared" si="35"/>
        <v>0</v>
      </c>
    </row>
    <row r="46" spans="1:60" x14ac:dyDescent="0.25">
      <c r="A46" s="44">
        <f>'2015 Pension Calculation'!E62</f>
        <v>0</v>
      </c>
      <c r="B46" s="45">
        <v>43</v>
      </c>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6">
        <f>$A46*Variables!$C$2</f>
        <v>0</v>
      </c>
      <c r="AT46" s="46">
        <f t="shared" si="21"/>
        <v>0</v>
      </c>
      <c r="AU46" s="47">
        <f t="shared" si="22"/>
        <v>0</v>
      </c>
      <c r="AV46" s="47">
        <f t="shared" si="22"/>
        <v>0</v>
      </c>
      <c r="AW46" s="47">
        <f t="shared" si="24"/>
        <v>0</v>
      </c>
      <c r="AX46" s="47">
        <f t="shared" si="22"/>
        <v>0</v>
      </c>
      <c r="AY46" s="47">
        <f t="shared" si="22"/>
        <v>0</v>
      </c>
      <c r="AZ46" s="47">
        <f t="shared" si="22"/>
        <v>0</v>
      </c>
      <c r="BA46" s="47">
        <f t="shared" si="22"/>
        <v>0</v>
      </c>
      <c r="BB46" s="47">
        <f t="shared" si="22"/>
        <v>0</v>
      </c>
      <c r="BC46" s="47">
        <f t="shared" si="22"/>
        <v>0</v>
      </c>
      <c r="BD46" s="90">
        <f t="shared" si="22"/>
        <v>0</v>
      </c>
      <c r="BE46" s="90">
        <f t="shared" si="22"/>
        <v>0</v>
      </c>
      <c r="BF46" s="90">
        <f t="shared" si="22"/>
        <v>0</v>
      </c>
      <c r="BG46" s="90">
        <f t="shared" si="34"/>
        <v>0</v>
      </c>
      <c r="BH46" s="90">
        <f t="shared" si="35"/>
        <v>0</v>
      </c>
    </row>
    <row r="47" spans="1:60" x14ac:dyDescent="0.25">
      <c r="A47" s="44">
        <f>'2015 Pension Calculation'!E63</f>
        <v>0</v>
      </c>
      <c r="B47" s="45">
        <v>44</v>
      </c>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6">
        <f>$A47*Variables!$C$2</f>
        <v>0</v>
      </c>
      <c r="AU47" s="47">
        <f t="shared" si="22"/>
        <v>0</v>
      </c>
      <c r="AV47" s="47">
        <f t="shared" si="22"/>
        <v>0</v>
      </c>
      <c r="AW47" s="47">
        <f t="shared" si="24"/>
        <v>0</v>
      </c>
      <c r="AX47" s="47">
        <f t="shared" si="22"/>
        <v>0</v>
      </c>
      <c r="AY47" s="47">
        <f t="shared" si="22"/>
        <v>0</v>
      </c>
      <c r="AZ47" s="47">
        <f t="shared" si="22"/>
        <v>0</v>
      </c>
      <c r="BA47" s="47">
        <f t="shared" si="22"/>
        <v>0</v>
      </c>
      <c r="BB47" s="47">
        <f t="shared" si="22"/>
        <v>0</v>
      </c>
      <c r="BC47" s="47">
        <f t="shared" si="22"/>
        <v>0</v>
      </c>
      <c r="BD47" s="90">
        <f t="shared" si="22"/>
        <v>0</v>
      </c>
      <c r="BE47" s="90">
        <f t="shared" si="22"/>
        <v>0</v>
      </c>
      <c r="BF47" s="90">
        <f t="shared" si="22"/>
        <v>0</v>
      </c>
      <c r="BG47" s="90">
        <f t="shared" si="34"/>
        <v>0</v>
      </c>
      <c r="BH47" s="90">
        <f t="shared" si="35"/>
        <v>0</v>
      </c>
    </row>
    <row r="48" spans="1:60" ht="15.75" thickBot="1" x14ac:dyDescent="0.3">
      <c r="A48" s="44">
        <f>'2015 Pension Calculation'!E64</f>
        <v>0</v>
      </c>
      <c r="B48" s="45">
        <v>45</v>
      </c>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47">
        <f>$A48*Variables!$C$2</f>
        <v>0</v>
      </c>
      <c r="AV48" s="47">
        <f t="shared" ref="AV48:AV52" si="53">(AU48*$A$1)+AU48</f>
        <v>0</v>
      </c>
      <c r="AW48" s="47">
        <f t="shared" si="24"/>
        <v>0</v>
      </c>
      <c r="AX48" s="47">
        <f>(AW48*$A$1)+AW48</f>
        <v>0</v>
      </c>
      <c r="AY48" s="47">
        <f t="shared" si="22"/>
        <v>0</v>
      </c>
      <c r="AZ48" s="47">
        <f t="shared" ref="AZ48:BF55" si="54">(AY48*$A$1)+AY48</f>
        <v>0</v>
      </c>
      <c r="BA48" s="47">
        <f t="shared" si="22"/>
        <v>0</v>
      </c>
      <c r="BB48" s="47">
        <f t="shared" si="22"/>
        <v>0</v>
      </c>
      <c r="BC48" s="47">
        <f t="shared" si="22"/>
        <v>0</v>
      </c>
      <c r="BD48" s="90">
        <f t="shared" si="22"/>
        <v>0</v>
      </c>
      <c r="BE48" s="90">
        <f t="shared" si="22"/>
        <v>0</v>
      </c>
      <c r="BF48" s="90">
        <f t="shared" si="22"/>
        <v>0</v>
      </c>
      <c r="BG48" s="90">
        <f t="shared" si="34"/>
        <v>0</v>
      </c>
      <c r="BH48" s="90">
        <f t="shared" si="35"/>
        <v>0</v>
      </c>
    </row>
    <row r="49" spans="1:60" x14ac:dyDescent="0.25">
      <c r="A49" s="44">
        <f>'2015 Pension Calculation'!E65</f>
        <v>0</v>
      </c>
      <c r="B49" s="45">
        <v>46</v>
      </c>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48"/>
      <c r="AV49" s="47">
        <f>$A49*Variables!$C$2</f>
        <v>0</v>
      </c>
      <c r="AW49" s="47">
        <f t="shared" si="24"/>
        <v>0</v>
      </c>
      <c r="AX49" s="47">
        <f t="shared" ref="AX49:AY52" si="55">(AW49*$A$1)+AW49</f>
        <v>0</v>
      </c>
      <c r="AY49" s="47">
        <f t="shared" si="55"/>
        <v>0</v>
      </c>
      <c r="AZ49" s="47">
        <f t="shared" si="54"/>
        <v>0</v>
      </c>
      <c r="BA49" s="47">
        <f t="shared" si="54"/>
        <v>0</v>
      </c>
      <c r="BB49" s="47">
        <f t="shared" si="54"/>
        <v>0</v>
      </c>
      <c r="BC49" s="47">
        <f t="shared" si="54"/>
        <v>0</v>
      </c>
      <c r="BD49" s="90">
        <f t="shared" si="54"/>
        <v>0</v>
      </c>
      <c r="BE49" s="90">
        <f t="shared" si="54"/>
        <v>0</v>
      </c>
      <c r="BF49" s="90">
        <f t="shared" si="54"/>
        <v>0</v>
      </c>
      <c r="BG49" s="90">
        <f t="shared" si="34"/>
        <v>0</v>
      </c>
      <c r="BH49" s="90">
        <f t="shared" si="35"/>
        <v>0</v>
      </c>
    </row>
    <row r="50" spans="1:60" x14ac:dyDescent="0.25">
      <c r="A50" s="44">
        <f>'2015 Pension Calculation'!E66</f>
        <v>0</v>
      </c>
      <c r="B50" s="45">
        <v>47</v>
      </c>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48"/>
      <c r="AV50" s="91">
        <f t="shared" si="53"/>
        <v>0</v>
      </c>
      <c r="AW50" s="47">
        <f>$A50*Variables!$C$2</f>
        <v>0</v>
      </c>
      <c r="AX50" s="47">
        <f t="shared" si="55"/>
        <v>0</v>
      </c>
      <c r="AY50" s="47">
        <f t="shared" si="55"/>
        <v>0</v>
      </c>
      <c r="AZ50" s="47">
        <f t="shared" si="54"/>
        <v>0</v>
      </c>
      <c r="BA50" s="47">
        <f t="shared" si="54"/>
        <v>0</v>
      </c>
      <c r="BB50" s="47">
        <f t="shared" si="54"/>
        <v>0</v>
      </c>
      <c r="BC50" s="47">
        <f t="shared" si="54"/>
        <v>0</v>
      </c>
      <c r="BD50" s="90">
        <f t="shared" si="54"/>
        <v>0</v>
      </c>
      <c r="BE50" s="90">
        <f t="shared" si="54"/>
        <v>0</v>
      </c>
      <c r="BF50" s="90">
        <f t="shared" si="54"/>
        <v>0</v>
      </c>
      <c r="BG50" s="90">
        <f t="shared" si="34"/>
        <v>0</v>
      </c>
      <c r="BH50" s="90">
        <f t="shared" si="35"/>
        <v>0</v>
      </c>
    </row>
    <row r="51" spans="1:60" x14ac:dyDescent="0.25">
      <c r="A51" s="44">
        <f>'2015 Pension Calculation'!E67</f>
        <v>0</v>
      </c>
      <c r="B51" s="45">
        <v>48</v>
      </c>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c r="AU51" s="48"/>
      <c r="AV51" s="91">
        <f t="shared" si="53"/>
        <v>0</v>
      </c>
      <c r="AW51" s="91">
        <f t="shared" si="24"/>
        <v>0</v>
      </c>
      <c r="AX51" s="47">
        <f>$A51*Variables!$C$2</f>
        <v>0</v>
      </c>
      <c r="AY51" s="47">
        <f t="shared" si="55"/>
        <v>0</v>
      </c>
      <c r="AZ51" s="47">
        <f t="shared" si="54"/>
        <v>0</v>
      </c>
      <c r="BA51" s="47">
        <f t="shared" si="54"/>
        <v>0</v>
      </c>
      <c r="BB51" s="47">
        <f t="shared" si="54"/>
        <v>0</v>
      </c>
      <c r="BC51" s="47">
        <f t="shared" si="54"/>
        <v>0</v>
      </c>
      <c r="BD51" s="90">
        <f t="shared" si="54"/>
        <v>0</v>
      </c>
      <c r="BE51" s="90">
        <f t="shared" si="54"/>
        <v>0</v>
      </c>
      <c r="BF51" s="90">
        <f t="shared" si="54"/>
        <v>0</v>
      </c>
      <c r="BG51" s="90">
        <f t="shared" si="34"/>
        <v>0</v>
      </c>
      <c r="BH51" s="90">
        <f t="shared" si="35"/>
        <v>0</v>
      </c>
    </row>
    <row r="52" spans="1:60" x14ac:dyDescent="0.25">
      <c r="A52" s="44">
        <f>'2015 Pension Calculation'!E68</f>
        <v>0</v>
      </c>
      <c r="B52" s="45">
        <v>49</v>
      </c>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48"/>
      <c r="AV52" s="91">
        <f t="shared" si="53"/>
        <v>0</v>
      </c>
      <c r="AW52" s="91">
        <f t="shared" si="24"/>
        <v>0</v>
      </c>
      <c r="AX52" s="91">
        <f t="shared" si="55"/>
        <v>0</v>
      </c>
      <c r="AY52" s="47">
        <f>$A52*Variables!$C$2</f>
        <v>0</v>
      </c>
      <c r="AZ52" s="47">
        <f t="shared" si="54"/>
        <v>0</v>
      </c>
      <c r="BA52" s="47">
        <f t="shared" si="54"/>
        <v>0</v>
      </c>
      <c r="BB52" s="47">
        <f t="shared" si="54"/>
        <v>0</v>
      </c>
      <c r="BC52" s="47">
        <f t="shared" si="54"/>
        <v>0</v>
      </c>
      <c r="BD52" s="90">
        <f t="shared" si="54"/>
        <v>0</v>
      </c>
      <c r="BE52" s="90">
        <f t="shared" si="54"/>
        <v>0</v>
      </c>
      <c r="BF52" s="90">
        <f t="shared" si="54"/>
        <v>0</v>
      </c>
      <c r="BG52" s="90">
        <f t="shared" si="34"/>
        <v>0</v>
      </c>
      <c r="BH52" s="90">
        <f t="shared" si="35"/>
        <v>0</v>
      </c>
    </row>
    <row r="53" spans="1:60" x14ac:dyDescent="0.25">
      <c r="A53" s="44">
        <f>'2015 Pension Calculation'!E69</f>
        <v>0</v>
      </c>
      <c r="B53" s="45">
        <v>50</v>
      </c>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52">
        <f>$A53*Variables!$C$2</f>
        <v>0</v>
      </c>
      <c r="BA53" s="47">
        <f t="shared" si="54"/>
        <v>0</v>
      </c>
      <c r="BB53" s="47">
        <f t="shared" si="54"/>
        <v>0</v>
      </c>
      <c r="BC53" s="47">
        <f t="shared" si="54"/>
        <v>0</v>
      </c>
    </row>
    <row r="54" spans="1:60" x14ac:dyDescent="0.25">
      <c r="A54" s="44">
        <f>'2015 Pension Calculation'!E70</f>
        <v>0</v>
      </c>
      <c r="B54" s="45">
        <v>51</v>
      </c>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52">
        <f>$A54*Variables!$C$2</f>
        <v>0</v>
      </c>
      <c r="BB54" s="47">
        <f t="shared" si="54"/>
        <v>0</v>
      </c>
      <c r="BC54" s="47">
        <f t="shared" si="54"/>
        <v>0</v>
      </c>
      <c r="BG54" s="90">
        <f t="shared" si="34"/>
        <v>0</v>
      </c>
    </row>
    <row r="55" spans="1:60" x14ac:dyDescent="0.25">
      <c r="A55" s="44">
        <f>'2015 Pension Calculation'!E71</f>
        <v>0</v>
      </c>
      <c r="B55" s="45">
        <v>52</v>
      </c>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47">
        <f>$A55*Variables!$C$2</f>
        <v>0</v>
      </c>
      <c r="BC55" s="47">
        <f t="shared" si="54"/>
        <v>0</v>
      </c>
      <c r="BD55" s="90">
        <f>(BC58*$A$1)+BC58</f>
        <v>14172.996218040886</v>
      </c>
      <c r="BE55" s="90">
        <f t="shared" ref="BE55:BH55" si="56">(BD55*$A$1)+BD55</f>
        <v>14456.456142401703</v>
      </c>
      <c r="BF55" s="90">
        <f t="shared" si="56"/>
        <v>14745.585265249738</v>
      </c>
      <c r="BG55" s="90">
        <f t="shared" si="56"/>
        <v>15040.496970554732</v>
      </c>
      <c r="BH55" s="90">
        <f t="shared" si="56"/>
        <v>15341.306909965826</v>
      </c>
    </row>
    <row r="56" spans="1:60" x14ac:dyDescent="0.25">
      <c r="A56" s="44">
        <f>'2015 Pension Calculation'!E72</f>
        <v>0</v>
      </c>
      <c r="B56" s="45">
        <v>53</v>
      </c>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52">
        <f>$A56*Variables!$C$2</f>
        <v>0</v>
      </c>
    </row>
    <row r="57" spans="1:60" ht="15.75" thickBot="1" x14ac:dyDescent="0.3">
      <c r="A57" s="50">
        <f>'2015 Pension Calculation'!E73</f>
        <v>0</v>
      </c>
      <c r="B57" s="45">
        <v>54</v>
      </c>
    </row>
    <row r="58" spans="1:60" x14ac:dyDescent="0.25">
      <c r="C58" s="92">
        <f>SUM(C4:C51)</f>
        <v>740.74074074074065</v>
      </c>
      <c r="D58" s="92">
        <f t="shared" ref="D58:AU58" si="57">SUM(D4:D48)</f>
        <v>1499.9999999999995</v>
      </c>
      <c r="E58" s="92">
        <f t="shared" si="57"/>
        <v>2278.1666666666661</v>
      </c>
      <c r="F58" s="92">
        <f t="shared" si="57"/>
        <v>3075.6374999999989</v>
      </c>
      <c r="G58" s="92">
        <f t="shared" si="57"/>
        <v>3892.8172874999982</v>
      </c>
      <c r="H58" s="92">
        <f t="shared" si="57"/>
        <v>4730.1190059374985</v>
      </c>
      <c r="I58" s="92">
        <f t="shared" si="57"/>
        <v>5587.9639856071844</v>
      </c>
      <c r="J58" s="92">
        <f t="shared" si="57"/>
        <v>5699.7232653193287</v>
      </c>
      <c r="K58" s="92">
        <f t="shared" si="57"/>
        <v>5813.7177306257163</v>
      </c>
      <c r="L58" s="92">
        <f t="shared" si="57"/>
        <v>5929.9920852382293</v>
      </c>
      <c r="M58" s="92">
        <f t="shared" si="57"/>
        <v>6048.5919269429942</v>
      </c>
      <c r="N58" s="92">
        <f t="shared" si="57"/>
        <v>6169.5637654818538</v>
      </c>
      <c r="O58" s="92">
        <f t="shared" si="57"/>
        <v>6292.9550407914903</v>
      </c>
      <c r="P58" s="92">
        <f t="shared" si="57"/>
        <v>6418.8141416073213</v>
      </c>
      <c r="Q58" s="92">
        <f t="shared" si="57"/>
        <v>6547.1904244394682</v>
      </c>
      <c r="R58" s="92">
        <f t="shared" si="57"/>
        <v>6678.1342329282561</v>
      </c>
      <c r="S58" s="92">
        <f t="shared" si="57"/>
        <v>6811.6969175868217</v>
      </c>
      <c r="T58" s="92">
        <f t="shared" si="57"/>
        <v>6947.930855938559</v>
      </c>
      <c r="U58" s="92">
        <f t="shared" si="57"/>
        <v>7086.8894730573284</v>
      </c>
      <c r="V58" s="92">
        <f t="shared" si="57"/>
        <v>7228.6272625184756</v>
      </c>
      <c r="W58" s="92">
        <f t="shared" si="57"/>
        <v>7373.1998077688449</v>
      </c>
      <c r="X58" s="92">
        <f t="shared" si="57"/>
        <v>7520.6638039242225</v>
      </c>
      <c r="Y58" s="92">
        <f t="shared" si="57"/>
        <v>7671.0770800027067</v>
      </c>
      <c r="Z58" s="92">
        <f t="shared" si="57"/>
        <v>7824.498621602761</v>
      </c>
      <c r="AA58" s="92">
        <f t="shared" si="57"/>
        <v>7980.9885940348158</v>
      </c>
      <c r="AB58" s="92">
        <f t="shared" si="57"/>
        <v>8140.608365915512</v>
      </c>
      <c r="AC58" s="92">
        <f t="shared" si="57"/>
        <v>8303.4205332338224</v>
      </c>
      <c r="AD58" s="92">
        <f t="shared" si="57"/>
        <v>8469.4889438984992</v>
      </c>
      <c r="AE58" s="92">
        <f t="shared" si="57"/>
        <v>8638.8787227764678</v>
      </c>
      <c r="AF58" s="92">
        <f t="shared" si="57"/>
        <v>8811.6562972319989</v>
      </c>
      <c r="AG58" s="92">
        <f t="shared" si="57"/>
        <v>8987.889423176639</v>
      </c>
      <c r="AH58" s="92">
        <f t="shared" si="57"/>
        <v>9167.647211640171</v>
      </c>
      <c r="AI58" s="92">
        <f t="shared" si="57"/>
        <v>9351.0001558729728</v>
      </c>
      <c r="AJ58" s="92">
        <f t="shared" si="57"/>
        <v>9538.0201589904354</v>
      </c>
      <c r="AK58" s="92">
        <f t="shared" si="57"/>
        <v>9728.780562170241</v>
      </c>
      <c r="AL58" s="92">
        <f t="shared" si="57"/>
        <v>9923.3561734136474</v>
      </c>
      <c r="AM58" s="92">
        <f t="shared" si="57"/>
        <v>10121.823296881919</v>
      </c>
      <c r="AN58" s="92">
        <f t="shared" si="57"/>
        <v>10324.259762819558</v>
      </c>
      <c r="AO58" s="92">
        <f t="shared" si="57"/>
        <v>10530.744958075948</v>
      </c>
      <c r="AP58" s="92">
        <f t="shared" si="57"/>
        <v>10741.359857237469</v>
      </c>
      <c r="AQ58" s="92">
        <f t="shared" si="57"/>
        <v>10956.187054382219</v>
      </c>
      <c r="AR58" s="92">
        <f t="shared" si="57"/>
        <v>11175.310795469861</v>
      </c>
      <c r="AS58" s="92">
        <f t="shared" si="57"/>
        <v>11398.817011379258</v>
      </c>
      <c r="AT58" s="92">
        <f t="shared" si="57"/>
        <v>11626.793351606846</v>
      </c>
      <c r="AU58" s="92">
        <f t="shared" si="57"/>
        <v>11859.329218638983</v>
      </c>
      <c r="AV58" s="93">
        <f t="shared" ref="AV58:BC58" si="58">(AU58*$A$1)+AU58</f>
        <v>12096.515803011762</v>
      </c>
      <c r="AW58" s="93">
        <f t="shared" si="58"/>
        <v>12338.446119071998</v>
      </c>
      <c r="AX58" s="93">
        <f t="shared" si="58"/>
        <v>12585.215041453437</v>
      </c>
      <c r="AY58" s="93">
        <f t="shared" si="58"/>
        <v>12836.919342282506</v>
      </c>
      <c r="AZ58" s="93">
        <f t="shared" si="58"/>
        <v>13093.657729128157</v>
      </c>
      <c r="BA58" s="93">
        <f t="shared" si="58"/>
        <v>13355.53088371072</v>
      </c>
      <c r="BB58" s="93">
        <f t="shared" si="58"/>
        <v>13622.641501384935</v>
      </c>
      <c r="BC58" s="93">
        <f t="shared" si="58"/>
        <v>13895.094331412633</v>
      </c>
    </row>
  </sheetData>
  <phoneticPr fontId="7" type="noConversion"/>
  <pageMargins left="0.75000000000000011" right="0.75000000000000011" top="1" bottom="1" header="0.5" footer="0.5"/>
  <pageSetup paperSize="9" scale="48" orientation="landscape" horizontalDpi="4294967292" verticalDpi="4294967292"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6"/>
  <sheetViews>
    <sheetView workbookViewId="0">
      <selection activeCell="C4" sqref="C4"/>
    </sheetView>
  </sheetViews>
  <sheetFormatPr defaultColWidth="10.85546875" defaultRowHeight="15" x14ac:dyDescent="0.25"/>
  <cols>
    <col min="1" max="1" width="10.85546875" style="31"/>
    <col min="2" max="2" width="19" style="31" customWidth="1"/>
    <col min="3" max="3" width="14.85546875" style="31" bestFit="1" customWidth="1"/>
    <col min="4" max="16384" width="10.85546875" style="31"/>
  </cols>
  <sheetData>
    <row r="1" spans="1:3" ht="18.95" thickBot="1" x14ac:dyDescent="0.5">
      <c r="A1" s="284" t="s">
        <v>17</v>
      </c>
      <c r="B1" s="285"/>
      <c r="C1" s="53" t="s">
        <v>18</v>
      </c>
    </row>
    <row r="2" spans="1:3" ht="18.600000000000001" x14ac:dyDescent="0.45">
      <c r="A2" s="278" t="s">
        <v>4</v>
      </c>
      <c r="B2" s="279"/>
      <c r="C2" s="54">
        <f>1/54</f>
        <v>1.8518518518518517E-2</v>
      </c>
    </row>
    <row r="3" spans="1:3" ht="18.75" x14ac:dyDescent="0.3">
      <c r="A3" s="280" t="s">
        <v>14</v>
      </c>
      <c r="B3" s="281"/>
      <c r="C3" s="55">
        <v>42095</v>
      </c>
    </row>
    <row r="4" spans="1:3" ht="18.75" x14ac:dyDescent="0.3">
      <c r="A4" s="280" t="s">
        <v>15</v>
      </c>
      <c r="B4" s="281"/>
      <c r="C4" s="56">
        <v>67</v>
      </c>
    </row>
    <row r="5" spans="1:3" ht="19.5" thickBot="1" x14ac:dyDescent="0.35">
      <c r="A5" s="282" t="s">
        <v>6</v>
      </c>
      <c r="B5" s="283"/>
      <c r="C5" s="57">
        <v>0.02</v>
      </c>
    </row>
    <row r="6" spans="1:3" x14ac:dyDescent="0.25">
      <c r="A6" s="31" t="s">
        <v>46</v>
      </c>
      <c r="C6" s="83">
        <f>'2015 Pension Calculation'!F17</f>
        <v>0</v>
      </c>
    </row>
  </sheetData>
  <mergeCells count="5">
    <mergeCell ref="A2:B2"/>
    <mergeCell ref="A3:B3"/>
    <mergeCell ref="A4:B4"/>
    <mergeCell ref="A5:B5"/>
    <mergeCell ref="A1:B1"/>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159"/>
  <sheetViews>
    <sheetView workbookViewId="0">
      <selection activeCell="M24" sqref="M24"/>
    </sheetView>
  </sheetViews>
  <sheetFormatPr defaultColWidth="9.140625" defaultRowHeight="15" x14ac:dyDescent="0.25"/>
  <cols>
    <col min="1" max="4" width="9.140625" style="64"/>
    <col min="5" max="5" width="10.28515625" style="64" customWidth="1"/>
    <col min="6" max="7" width="9.140625" style="64"/>
    <col min="8" max="8" width="15" style="64" customWidth="1"/>
    <col min="9" max="9" width="9.140625" style="64"/>
    <col min="10" max="10" width="21.140625" style="64" customWidth="1"/>
    <col min="11" max="11" width="9.140625" style="64"/>
    <col min="12" max="12" width="6.42578125" style="64" customWidth="1"/>
    <col min="13" max="13" width="8.140625" style="64" customWidth="1"/>
    <col min="14" max="14" width="6.7109375" style="64" customWidth="1"/>
    <col min="15" max="16" width="5.140625" style="64" customWidth="1"/>
    <col min="17" max="17" width="3.28515625" style="64" customWidth="1"/>
    <col min="18" max="18" width="6.140625" style="64" customWidth="1"/>
    <col min="19" max="19" width="0.42578125" style="64" hidden="1" customWidth="1"/>
    <col min="20" max="20" width="7.7109375" style="64" hidden="1" customWidth="1"/>
    <col min="21" max="21" width="11.28515625" style="64" hidden="1" customWidth="1"/>
    <col min="22" max="22" width="16.42578125" style="64" customWidth="1"/>
    <col min="23" max="23" width="15.7109375" style="64" customWidth="1"/>
    <col min="24" max="24" width="15" style="68" customWidth="1"/>
    <col min="25" max="25" width="12.42578125" style="80" customWidth="1"/>
    <col min="26" max="26" width="9.140625" style="64"/>
    <col min="27" max="27" width="8.140625" style="64" customWidth="1"/>
    <col min="28" max="28" width="7.28515625" style="64" hidden="1" customWidth="1"/>
    <col min="29" max="29" width="9.140625" style="64" hidden="1" customWidth="1"/>
    <col min="30" max="30" width="9.85546875" style="64" hidden="1" customWidth="1"/>
    <col min="31" max="31" width="9.140625" style="64" hidden="1" customWidth="1"/>
    <col min="32" max="32" width="5.5703125" style="64" customWidth="1"/>
    <col min="33" max="33" width="3.85546875" style="64" customWidth="1"/>
    <col min="34" max="34" width="6" style="64" customWidth="1"/>
    <col min="35" max="16384" width="9.140625" style="64"/>
  </cols>
  <sheetData>
    <row r="1" spans="1:44" ht="26.25" x14ac:dyDescent="0.4">
      <c r="A1" s="63" t="s">
        <v>24</v>
      </c>
      <c r="X1" s="68">
        <v>55</v>
      </c>
      <c r="Y1" s="80">
        <v>0.57999999999999996</v>
      </c>
      <c r="AA1" s="80">
        <v>0.57999999999999996</v>
      </c>
    </row>
    <row r="2" spans="1:44" ht="18.75" x14ac:dyDescent="0.3">
      <c r="A2" s="75" t="s">
        <v>41</v>
      </c>
      <c r="C2" s="76"/>
      <c r="D2" s="76"/>
      <c r="E2" s="76"/>
      <c r="F2" s="76"/>
      <c r="G2" s="76"/>
      <c r="H2" s="76"/>
      <c r="X2" s="68">
        <v>55.083333333333336</v>
      </c>
      <c r="Y2" s="80">
        <v>0.58199999999999996</v>
      </c>
      <c r="AA2" s="80">
        <v>0.58199999999999996</v>
      </c>
    </row>
    <row r="3" spans="1:44" ht="18.75" x14ac:dyDescent="0.3">
      <c r="A3" s="65" t="s">
        <v>25</v>
      </c>
      <c r="B3" s="69"/>
      <c r="C3" s="69"/>
      <c r="D3" s="69"/>
      <c r="E3" s="69"/>
      <c r="F3" s="69"/>
      <c r="G3" s="69"/>
      <c r="H3" s="69"/>
      <c r="I3" s="69"/>
      <c r="J3" s="69"/>
      <c r="K3" s="69"/>
      <c r="L3" s="69"/>
      <c r="M3" s="69"/>
      <c r="N3" s="69"/>
      <c r="O3" s="69"/>
      <c r="P3" s="69"/>
      <c r="Q3" s="69"/>
      <c r="R3" s="69"/>
      <c r="X3" s="68">
        <v>55.166666666666664</v>
      </c>
      <c r="Y3" s="80">
        <v>0.58399999999999996</v>
      </c>
      <c r="AA3" s="80">
        <v>0.58399999999999996</v>
      </c>
    </row>
    <row r="4" spans="1:44" ht="18.75" x14ac:dyDescent="0.3">
      <c r="A4" s="65" t="s">
        <v>43</v>
      </c>
      <c r="B4" s="69"/>
      <c r="C4" s="69"/>
      <c r="D4" s="69"/>
      <c r="E4" s="69"/>
      <c r="F4" s="69"/>
      <c r="G4" s="69"/>
      <c r="H4" s="69"/>
      <c r="I4" s="69"/>
      <c r="J4" s="69"/>
      <c r="K4" s="69"/>
      <c r="L4" s="69"/>
      <c r="M4" s="69"/>
      <c r="N4" s="69"/>
      <c r="O4" s="69"/>
      <c r="P4" s="69"/>
      <c r="Q4" s="69"/>
      <c r="R4" s="69"/>
      <c r="T4" s="64">
        <v>55</v>
      </c>
      <c r="U4" s="67" t="e">
        <f>LOOKUP(T4,'2015 Pension Calculation'!D20:D64,'2015 Pension Calculation'!H20:H64)</f>
        <v>#N/A</v>
      </c>
      <c r="X4" s="68">
        <v>55.25</v>
      </c>
      <c r="Y4" s="80">
        <v>0.58599999999999997</v>
      </c>
      <c r="AA4" s="80">
        <v>0.58599999999999997</v>
      </c>
      <c r="AL4" s="64">
        <v>55</v>
      </c>
      <c r="AM4" s="64">
        <v>0.55400000000000005</v>
      </c>
    </row>
    <row r="5" spans="1:44" ht="18.75" x14ac:dyDescent="0.3">
      <c r="A5" s="65" t="s">
        <v>26</v>
      </c>
      <c r="B5" s="69"/>
      <c r="C5" s="69"/>
      <c r="D5" s="69"/>
      <c r="E5" s="69"/>
      <c r="F5" s="69"/>
      <c r="G5" s="69"/>
      <c r="H5" s="69"/>
      <c r="I5" s="69"/>
      <c r="J5" s="69"/>
      <c r="K5" s="69"/>
      <c r="L5" s="69"/>
      <c r="M5" s="69"/>
      <c r="N5" s="69"/>
      <c r="O5" s="69"/>
      <c r="P5" s="69"/>
      <c r="Q5" s="69"/>
      <c r="R5" s="69"/>
      <c r="T5" s="64">
        <v>56</v>
      </c>
      <c r="U5" s="67" t="e">
        <f>LOOKUP(T5,'2015 Pension Calculation'!D21:D67,'2015 Pension Calculation'!H21:H67)</f>
        <v>#N/A</v>
      </c>
      <c r="X5" s="68">
        <v>55.333333333333336</v>
      </c>
      <c r="Y5" s="80">
        <v>0.58799999999999997</v>
      </c>
      <c r="AA5" s="80">
        <v>0.58799999999999997</v>
      </c>
      <c r="AL5" s="64">
        <v>55.083333333333336</v>
      </c>
      <c r="AM5" s="64">
        <v>0.55600000000000005</v>
      </c>
    </row>
    <row r="6" spans="1:44" ht="18.75" x14ac:dyDescent="0.3">
      <c r="P6" s="69"/>
      <c r="Q6" s="69"/>
      <c r="R6" s="69"/>
      <c r="T6" s="64">
        <v>57</v>
      </c>
      <c r="U6" s="67" t="e">
        <f>LOOKUP(T6,'2015 Pension Calculation'!D22:D68,'2015 Pension Calculation'!H22:H68)</f>
        <v>#N/A</v>
      </c>
      <c r="X6" s="68">
        <v>55.416666666666664</v>
      </c>
      <c r="Y6" s="80">
        <v>0.59</v>
      </c>
      <c r="AA6" s="80">
        <v>0.59</v>
      </c>
      <c r="AL6" s="64">
        <v>55.166666666666664</v>
      </c>
      <c r="AM6" s="64">
        <v>0.55800000000000005</v>
      </c>
    </row>
    <row r="7" spans="1:44" ht="18.75" x14ac:dyDescent="0.3">
      <c r="A7" s="65" t="s">
        <v>27</v>
      </c>
      <c r="B7" s="69"/>
      <c r="C7" s="69"/>
      <c r="D7" s="69"/>
      <c r="E7" s="69"/>
      <c r="F7" s="69"/>
      <c r="G7" s="69"/>
      <c r="H7" s="69"/>
      <c r="I7" s="69"/>
      <c r="J7" s="69"/>
      <c r="K7" s="69"/>
      <c r="L7" s="69"/>
      <c r="M7" s="69"/>
      <c r="N7" s="69"/>
      <c r="O7" s="69"/>
      <c r="P7" s="69"/>
      <c r="Q7" s="69"/>
      <c r="R7" s="69"/>
      <c r="T7" s="64">
        <v>58</v>
      </c>
      <c r="U7" s="67" t="e">
        <f>LOOKUP(T7,'2015 Pension Calculation'!D23:D69,'2015 Pension Calculation'!H23:H69)</f>
        <v>#N/A</v>
      </c>
      <c r="X7" s="68">
        <v>55.5</v>
      </c>
      <c r="Y7" s="80">
        <v>0.59099999999999997</v>
      </c>
      <c r="AA7" s="80">
        <v>0.59099999999999997</v>
      </c>
      <c r="AL7" s="64">
        <v>55.25</v>
      </c>
      <c r="AM7" s="64">
        <v>0.56000000000000005</v>
      </c>
    </row>
    <row r="8" spans="1:44" ht="18.75" x14ac:dyDescent="0.3">
      <c r="A8" s="65" t="s">
        <v>44</v>
      </c>
      <c r="B8" s="69"/>
      <c r="C8" s="69"/>
      <c r="D8" s="69"/>
      <c r="E8" s="69"/>
      <c r="F8" s="69"/>
      <c r="G8" s="69"/>
      <c r="H8" s="69"/>
      <c r="I8" s="69"/>
      <c r="J8" s="69"/>
      <c r="K8" s="69"/>
      <c r="L8" s="69"/>
      <c r="M8" s="69"/>
      <c r="N8" s="69"/>
      <c r="O8" s="69"/>
      <c r="P8" s="69"/>
      <c r="Q8" s="69"/>
      <c r="R8" s="69"/>
      <c r="T8" s="64">
        <v>59</v>
      </c>
      <c r="U8" s="67" t="e">
        <f>LOOKUP(T8,'2015 Pension Calculation'!D24:D70,'2015 Pension Calculation'!H24:H70)</f>
        <v>#N/A</v>
      </c>
      <c r="X8" s="68">
        <v>55.583333333333336</v>
      </c>
      <c r="Y8" s="80">
        <v>0.59299999999999997</v>
      </c>
      <c r="AA8" s="80">
        <v>0.59299999999999997</v>
      </c>
      <c r="AL8" s="64">
        <v>55.333333333333336</v>
      </c>
      <c r="AM8" s="64">
        <v>0.56200000000000006</v>
      </c>
    </row>
    <row r="9" spans="1:44" ht="18.75" x14ac:dyDescent="0.3">
      <c r="A9" s="65"/>
      <c r="B9" s="69"/>
      <c r="C9" s="69"/>
      <c r="D9" s="69"/>
      <c r="E9" s="69"/>
      <c r="F9" s="69"/>
      <c r="G9" s="69"/>
      <c r="H9" s="69"/>
      <c r="I9" s="69"/>
      <c r="J9" s="69"/>
      <c r="K9" s="69"/>
      <c r="L9" s="69"/>
      <c r="M9" s="69"/>
      <c r="N9" s="69"/>
      <c r="O9" s="69"/>
      <c r="P9" s="69"/>
      <c r="Q9" s="69"/>
      <c r="R9" s="69"/>
      <c r="T9" s="64">
        <v>60</v>
      </c>
      <c r="U9" s="67" t="e">
        <f>LOOKUP(T9,'2015 Pension Calculation'!D25:D71,'2015 Pension Calculation'!H25:H71)</f>
        <v>#N/A</v>
      </c>
      <c r="X9" s="68">
        <v>55.666666666666664</v>
      </c>
      <c r="Y9" s="80">
        <v>0.59499999999999997</v>
      </c>
      <c r="AA9" s="80">
        <v>0.59499999999999997</v>
      </c>
      <c r="AL9" s="64">
        <v>55.416666666666664</v>
      </c>
      <c r="AM9" s="64">
        <v>0.56399999999999995</v>
      </c>
    </row>
    <row r="10" spans="1:44" ht="18.75" x14ac:dyDescent="0.3">
      <c r="A10" s="65" t="s">
        <v>30</v>
      </c>
      <c r="B10" s="69"/>
      <c r="C10" s="69"/>
      <c r="D10" s="69"/>
      <c r="E10" s="69"/>
      <c r="F10" s="69"/>
      <c r="G10" s="69"/>
      <c r="H10" s="69"/>
      <c r="I10" s="69"/>
      <c r="J10" s="69"/>
      <c r="K10" s="69"/>
      <c r="L10" s="69"/>
      <c r="M10" s="69"/>
      <c r="N10" s="69"/>
      <c r="O10" s="69"/>
      <c r="P10" s="69"/>
      <c r="Q10" s="69"/>
      <c r="R10" s="69"/>
      <c r="T10" s="64">
        <v>61</v>
      </c>
      <c r="U10" s="67" t="e">
        <f>LOOKUP(T10,'2015 Pension Calculation'!D26:D72,'2015 Pension Calculation'!H26:H72)</f>
        <v>#N/A</v>
      </c>
      <c r="X10" s="68">
        <v>55.75</v>
      </c>
      <c r="Y10" s="80">
        <v>0.59699999999999998</v>
      </c>
      <c r="AA10" s="80">
        <v>0.59699999999999998</v>
      </c>
      <c r="AL10" s="64">
        <v>55.5</v>
      </c>
      <c r="AM10" s="64">
        <v>0.56599999999999995</v>
      </c>
    </row>
    <row r="11" spans="1:44" ht="18.75" x14ac:dyDescent="0.3">
      <c r="A11" s="65" t="s">
        <v>31</v>
      </c>
      <c r="B11" s="69"/>
      <c r="C11" s="69"/>
      <c r="D11" s="69"/>
      <c r="E11" s="69"/>
      <c r="F11" s="69"/>
      <c r="G11" s="69"/>
      <c r="H11" s="69"/>
      <c r="I11" s="69"/>
      <c r="J11" s="69"/>
      <c r="K11" s="69"/>
      <c r="L11" s="69"/>
      <c r="M11" s="69"/>
      <c r="N11" s="69"/>
      <c r="O11" s="69"/>
      <c r="P11" s="69"/>
      <c r="Q11" s="69"/>
      <c r="R11" s="69"/>
      <c r="T11" s="64">
        <v>62</v>
      </c>
      <c r="U11" s="67" t="e">
        <f>LOOKUP(T11,'2015 Pension Calculation'!D27:D73,'2015 Pension Calculation'!H27:H73)</f>
        <v>#N/A</v>
      </c>
      <c r="X11" s="68">
        <v>55.833333333333336</v>
      </c>
      <c r="Y11" s="80">
        <v>0.59899999999999998</v>
      </c>
      <c r="AA11" s="80">
        <v>0.59899999999999998</v>
      </c>
      <c r="AF11" s="64">
        <v>1</v>
      </c>
      <c r="AG11" s="64">
        <v>12</v>
      </c>
      <c r="AH11" s="68">
        <f>AF11/AG11</f>
        <v>8.3333333333333329E-2</v>
      </c>
      <c r="AL11" s="64">
        <v>55.583333333333336</v>
      </c>
      <c r="AM11" s="64">
        <v>0.56799999999999995</v>
      </c>
    </row>
    <row r="12" spans="1:44" ht="18.75" x14ac:dyDescent="0.3">
      <c r="A12" s="66" t="s">
        <v>22</v>
      </c>
      <c r="B12" s="69"/>
      <c r="C12" s="69"/>
      <c r="D12" s="69"/>
      <c r="E12" s="69"/>
      <c r="F12" s="69"/>
      <c r="G12" s="69"/>
      <c r="H12" s="69"/>
      <c r="I12" s="69"/>
      <c r="J12" s="69"/>
      <c r="K12" s="69"/>
      <c r="L12" s="69"/>
      <c r="M12" s="69"/>
      <c r="N12" s="69"/>
      <c r="O12" s="69"/>
      <c r="P12" s="69"/>
      <c r="Q12" s="69"/>
      <c r="R12" s="69"/>
      <c r="T12" s="64">
        <v>63</v>
      </c>
      <c r="U12" s="67" t="e">
        <f>LOOKUP(T12,'2015 Pension Calculation'!D28:D74,'2015 Pension Calculation'!H28:H74)</f>
        <v>#N/A</v>
      </c>
      <c r="X12" s="68">
        <v>55.916666666666664</v>
      </c>
      <c r="Y12" s="80">
        <v>0.60099999999999998</v>
      </c>
      <c r="AA12" s="80">
        <v>0.60099999999999998</v>
      </c>
      <c r="AB12" s="64" t="s">
        <v>34</v>
      </c>
      <c r="AD12" s="64" t="s">
        <v>35</v>
      </c>
      <c r="AF12" s="64">
        <v>2</v>
      </c>
      <c r="AG12" s="64">
        <v>12</v>
      </c>
      <c r="AH12" s="68">
        <f t="shared" ref="AH12:AH21" si="0">AF12/AG12</f>
        <v>0.16666666666666666</v>
      </c>
      <c r="AL12" s="64">
        <v>55.666666666666664</v>
      </c>
      <c r="AM12" s="64">
        <v>0.56999999999999995</v>
      </c>
      <c r="AP12" s="64" t="s">
        <v>34</v>
      </c>
      <c r="AR12" s="64" t="s">
        <v>35</v>
      </c>
    </row>
    <row r="13" spans="1:44" x14ac:dyDescent="0.25">
      <c r="T13" s="64">
        <v>64</v>
      </c>
      <c r="U13" s="67" t="e">
        <f>LOOKUP(T13,'2015 Pension Calculation'!D29:D75,'2015 Pension Calculation'!H29:H75)</f>
        <v>#N/A</v>
      </c>
      <c r="X13" s="68">
        <v>56</v>
      </c>
      <c r="Y13" s="80">
        <v>0.60299999999999998</v>
      </c>
      <c r="AA13" s="80">
        <v>0.60299999999999998</v>
      </c>
      <c r="AF13" s="64">
        <v>3</v>
      </c>
      <c r="AG13" s="64">
        <v>12</v>
      </c>
      <c r="AH13" s="68">
        <f t="shared" si="0"/>
        <v>0.25</v>
      </c>
      <c r="AL13" s="64">
        <v>55.75</v>
      </c>
      <c r="AM13" s="64">
        <v>0.57199999999999995</v>
      </c>
    </row>
    <row r="14" spans="1:44" ht="18.75" x14ac:dyDescent="0.3">
      <c r="A14" s="65" t="s">
        <v>37</v>
      </c>
      <c r="B14" s="65"/>
      <c r="C14" s="65"/>
      <c r="D14" s="65"/>
      <c r="E14" s="65"/>
      <c r="F14" s="69"/>
      <c r="G14" s="69"/>
      <c r="J14" s="82">
        <f>LOOKUP(W20,'2015 Pension Calculation'!D20:D64,'2015 Pension Calculation'!H20:H64)</f>
        <v>5587.9639856071844</v>
      </c>
      <c r="K14" s="69"/>
      <c r="T14" s="64">
        <v>65</v>
      </c>
      <c r="U14" s="67" t="e">
        <f>LOOKUP(T14,'2015 Pension Calculation'!D30:D76,'2015 Pension Calculation'!H30:H76)</f>
        <v>#N/A</v>
      </c>
      <c r="X14" s="68">
        <v>56.083333333333336</v>
      </c>
      <c r="Y14" s="80">
        <v>0.60499999999999998</v>
      </c>
      <c r="AA14" s="80">
        <v>0.60499999999999998</v>
      </c>
      <c r="AB14" s="68">
        <f>K17/12</f>
        <v>0.5</v>
      </c>
      <c r="AD14" s="68">
        <f>AB14+J17</f>
        <v>67.5</v>
      </c>
      <c r="AF14" s="64">
        <v>4</v>
      </c>
      <c r="AG14" s="64">
        <v>12</v>
      </c>
      <c r="AH14" s="68">
        <f t="shared" si="0"/>
        <v>0.33333333333333331</v>
      </c>
      <c r="AL14" s="64">
        <v>55.833333333333336</v>
      </c>
      <c r="AM14" s="64">
        <v>0.57399999999999995</v>
      </c>
      <c r="AP14" s="64">
        <f>K17/12</f>
        <v>0.5</v>
      </c>
      <c r="AR14" s="64">
        <f>J17+AP14</f>
        <v>67.5</v>
      </c>
    </row>
    <row r="15" spans="1:44" ht="18.75" x14ac:dyDescent="0.3">
      <c r="A15" s="65"/>
      <c r="B15" s="65"/>
      <c r="C15" s="65"/>
      <c r="D15" s="65"/>
      <c r="E15" s="65"/>
      <c r="F15" s="69"/>
      <c r="G15" s="69"/>
      <c r="J15" s="70"/>
      <c r="K15" s="69"/>
      <c r="T15" s="64">
        <v>66</v>
      </c>
      <c r="U15" s="67" t="e">
        <f>LOOKUP(T15,'2015 Pension Calculation'!D31:D77,'2015 Pension Calculation'!H31:H77)</f>
        <v>#N/A</v>
      </c>
      <c r="X15" s="68">
        <v>56.166666666666664</v>
      </c>
      <c r="Y15" s="80">
        <v>0.60699999999999998</v>
      </c>
      <c r="AA15" s="80">
        <v>0.60699999999999998</v>
      </c>
      <c r="AF15" s="64">
        <v>5</v>
      </c>
      <c r="AG15" s="64">
        <v>12</v>
      </c>
      <c r="AH15" s="68">
        <f t="shared" si="0"/>
        <v>0.41666666666666669</v>
      </c>
      <c r="AL15" s="64">
        <v>55.916666666666664</v>
      </c>
      <c r="AM15" s="64">
        <v>0.57599999999999996</v>
      </c>
    </row>
    <row r="16" spans="1:44" ht="18.75" x14ac:dyDescent="0.3">
      <c r="A16" s="69"/>
      <c r="B16" s="69"/>
      <c r="C16" s="69"/>
      <c r="D16" s="69"/>
      <c r="E16" s="69"/>
      <c r="F16" s="69"/>
      <c r="G16" s="69"/>
      <c r="J16" s="65" t="s">
        <v>32</v>
      </c>
      <c r="K16" s="65" t="s">
        <v>33</v>
      </c>
      <c r="X16" s="68">
        <v>56.25</v>
      </c>
      <c r="Y16" s="80">
        <v>0.60899999999999999</v>
      </c>
      <c r="AA16" s="80">
        <v>0.60899999999999999</v>
      </c>
      <c r="AF16" s="64">
        <v>6</v>
      </c>
      <c r="AG16" s="64">
        <v>12</v>
      </c>
      <c r="AH16" s="68">
        <f t="shared" si="0"/>
        <v>0.5</v>
      </c>
      <c r="AL16" s="64">
        <v>56</v>
      </c>
      <c r="AM16" s="64">
        <v>0.57799999999999996</v>
      </c>
    </row>
    <row r="17" spans="1:42" ht="18.75" x14ac:dyDescent="0.3">
      <c r="A17" s="65" t="s">
        <v>39</v>
      </c>
      <c r="B17" s="65"/>
      <c r="C17" s="65"/>
      <c r="D17" s="65"/>
      <c r="E17" s="65"/>
      <c r="F17" s="69"/>
      <c r="G17" s="69"/>
      <c r="J17" s="78">
        <f>'2015 Calculator Age 67'!K29</f>
        <v>67</v>
      </c>
      <c r="K17" s="78">
        <v>6</v>
      </c>
      <c r="W17" s="64">
        <f>LOOKUP(J17,'2015 Pension Calculation'!D20:D79,'2015 Pension Calculation'!B20:B79)</f>
        <v>7</v>
      </c>
      <c r="X17" s="68">
        <v>56.333333333333336</v>
      </c>
      <c r="Y17" s="80">
        <v>0.61099999999999999</v>
      </c>
      <c r="AA17" s="80">
        <v>0.61099999999999999</v>
      </c>
      <c r="AF17" s="64">
        <v>7</v>
      </c>
      <c r="AG17" s="64">
        <v>12</v>
      </c>
      <c r="AH17" s="68">
        <f t="shared" si="0"/>
        <v>0.58333333333333337</v>
      </c>
      <c r="AL17" s="64">
        <v>56.083333333333336</v>
      </c>
      <c r="AM17" s="64">
        <v>0.58099999999999996</v>
      </c>
      <c r="AP17" s="64">
        <f>AR14+AP14</f>
        <v>68</v>
      </c>
    </row>
    <row r="18" spans="1:42" ht="18.75" x14ac:dyDescent="0.3">
      <c r="A18" s="69"/>
      <c r="B18" s="69"/>
      <c r="C18" s="69"/>
      <c r="D18" s="69"/>
      <c r="E18" s="69"/>
      <c r="F18" s="69"/>
      <c r="G18" s="69"/>
      <c r="J18" s="69"/>
      <c r="K18" s="65"/>
      <c r="X18" s="68">
        <v>56.416666666666664</v>
      </c>
      <c r="Y18" s="80">
        <v>0.61299999999999999</v>
      </c>
      <c r="AA18" s="80">
        <v>0.61299999999999999</v>
      </c>
      <c r="AF18" s="64">
        <v>8</v>
      </c>
      <c r="AG18" s="64">
        <v>12</v>
      </c>
      <c r="AH18" s="68">
        <f t="shared" si="0"/>
        <v>0.66666666666666663</v>
      </c>
      <c r="AL18" s="64">
        <v>56.166666666666664</v>
      </c>
      <c r="AM18" s="64">
        <v>0.58299999999999996</v>
      </c>
    </row>
    <row r="19" spans="1:42" ht="18.75" x14ac:dyDescent="0.3">
      <c r="A19" s="65" t="s">
        <v>38</v>
      </c>
      <c r="B19" s="65"/>
      <c r="C19" s="65"/>
      <c r="D19" s="65"/>
      <c r="E19" s="65"/>
      <c r="F19" s="69"/>
      <c r="G19" s="69"/>
      <c r="J19" s="73">
        <f ca="1">LOOKUP(W17,Revaluation!C2:BB2,Revaluation!C58:BC58)</f>
        <v>5587.9639856071844</v>
      </c>
      <c r="K19" s="69"/>
      <c r="X19" s="68">
        <v>56.5</v>
      </c>
      <c r="Y19" s="80">
        <v>0.61499999999999999</v>
      </c>
      <c r="AA19" s="80">
        <v>0.61499999999999999</v>
      </c>
      <c r="AF19" s="64">
        <v>9</v>
      </c>
      <c r="AG19" s="64">
        <v>12</v>
      </c>
      <c r="AH19" s="68">
        <f t="shared" si="0"/>
        <v>0.75</v>
      </c>
      <c r="AL19" s="64">
        <v>56.25</v>
      </c>
      <c r="AM19" s="64">
        <v>0.58499999999999996</v>
      </c>
    </row>
    <row r="20" spans="1:42" ht="18.75" x14ac:dyDescent="0.3">
      <c r="A20" s="65"/>
      <c r="B20" s="65"/>
      <c r="C20" s="65"/>
      <c r="D20" s="65"/>
      <c r="E20" s="65"/>
      <c r="F20" s="69"/>
      <c r="G20" s="69"/>
      <c r="J20" s="69"/>
      <c r="K20" s="69"/>
      <c r="T20" s="64">
        <v>55</v>
      </c>
      <c r="U20" s="64">
        <v>0.55400000000000005</v>
      </c>
      <c r="W20" s="64">
        <v>67</v>
      </c>
      <c r="X20" s="68">
        <v>56.583333333333336</v>
      </c>
      <c r="Y20" s="80">
        <v>0.61699999999999999</v>
      </c>
      <c r="AA20" s="80">
        <v>0.61699999999999999</v>
      </c>
      <c r="AF20" s="64">
        <v>10</v>
      </c>
      <c r="AG20" s="64">
        <v>12</v>
      </c>
      <c r="AH20" s="68">
        <f t="shared" si="0"/>
        <v>0.83333333333333337</v>
      </c>
      <c r="AL20" s="64">
        <v>56.333333333333336</v>
      </c>
      <c r="AM20" s="64">
        <v>0.58699999999999997</v>
      </c>
    </row>
    <row r="21" spans="1:42" ht="18.75" x14ac:dyDescent="0.3">
      <c r="A21" s="65" t="s">
        <v>23</v>
      </c>
      <c r="B21" s="65"/>
      <c r="C21" s="65"/>
      <c r="D21" s="65"/>
      <c r="F21" s="69"/>
      <c r="G21" s="69"/>
      <c r="J21" s="81">
        <f>LOOKUP(AR14,X1:X157,Y1:Y157)</f>
        <v>1</v>
      </c>
      <c r="K21" s="69"/>
      <c r="T21" s="64">
        <v>56</v>
      </c>
      <c r="U21" s="64">
        <v>0.57799999999999996</v>
      </c>
      <c r="X21" s="68">
        <v>56.666666666666664</v>
      </c>
      <c r="Y21" s="80">
        <v>0.61899999999999999</v>
      </c>
      <c r="AA21" s="80">
        <v>0.61899999999999999</v>
      </c>
      <c r="AF21" s="64">
        <v>11</v>
      </c>
      <c r="AG21" s="64">
        <v>12</v>
      </c>
      <c r="AH21" s="68">
        <f t="shared" si="0"/>
        <v>0.91666666666666663</v>
      </c>
      <c r="AL21" s="64">
        <v>56.416666666666664</v>
      </c>
      <c r="AM21" s="64">
        <v>0.58899999999999997</v>
      </c>
    </row>
    <row r="22" spans="1:42" ht="18.75" x14ac:dyDescent="0.3">
      <c r="A22" s="65" t="s">
        <v>36</v>
      </c>
      <c r="B22" s="65"/>
      <c r="C22" s="65"/>
      <c r="D22" s="65"/>
      <c r="F22" s="71"/>
      <c r="G22" s="71"/>
      <c r="J22" s="74">
        <f>SUM(1-J21)</f>
        <v>0</v>
      </c>
      <c r="K22" s="69"/>
      <c r="T22" s="64">
        <v>57</v>
      </c>
      <c r="U22" s="64">
        <v>0.60499999999999998</v>
      </c>
      <c r="X22" s="68">
        <v>56.75</v>
      </c>
      <c r="Y22" s="80">
        <v>0.621</v>
      </c>
      <c r="AA22" s="80">
        <v>0.621</v>
      </c>
      <c r="AL22" s="64">
        <v>56.5</v>
      </c>
      <c r="AM22" s="64">
        <v>0.59199999999999997</v>
      </c>
    </row>
    <row r="23" spans="1:42" ht="18.75" x14ac:dyDescent="0.3">
      <c r="A23" s="65"/>
      <c r="B23" s="65"/>
      <c r="C23" s="65"/>
      <c r="D23" s="65"/>
      <c r="E23" s="65"/>
      <c r="F23" s="69"/>
      <c r="G23" s="69"/>
      <c r="J23" s="69"/>
      <c r="K23" s="69"/>
      <c r="T23" s="64">
        <v>58</v>
      </c>
      <c r="U23" s="64">
        <v>0.63300000000000001</v>
      </c>
      <c r="X23" s="68">
        <v>56.833333333333336</v>
      </c>
      <c r="Y23" s="80">
        <v>0.623</v>
      </c>
      <c r="AA23" s="80">
        <v>0.623</v>
      </c>
      <c r="AL23" s="64">
        <v>56.583333333333336</v>
      </c>
      <c r="AM23" s="64">
        <v>0.59399999999999997</v>
      </c>
    </row>
    <row r="24" spans="1:42" ht="18.75" x14ac:dyDescent="0.3">
      <c r="A24" s="65" t="s">
        <v>28</v>
      </c>
      <c r="B24" s="65"/>
      <c r="C24" s="65"/>
      <c r="D24" s="65"/>
      <c r="E24" s="65"/>
      <c r="F24" s="69"/>
      <c r="G24" s="69"/>
      <c r="J24" s="79">
        <f ca="1">J19*J21</f>
        <v>5587.9639856071844</v>
      </c>
      <c r="K24" s="69"/>
      <c r="T24" s="64">
        <v>59</v>
      </c>
      <c r="U24" s="64">
        <v>0.66300000000000003</v>
      </c>
      <c r="X24" s="68">
        <v>56.916666666666664</v>
      </c>
      <c r="Y24" s="80">
        <v>0.625</v>
      </c>
      <c r="AA24" s="80">
        <v>0.625</v>
      </c>
      <c r="AL24" s="64">
        <v>56.666666666666664</v>
      </c>
      <c r="AM24" s="64">
        <v>0.59599999999999997</v>
      </c>
    </row>
    <row r="25" spans="1:42" ht="18.75" x14ac:dyDescent="0.3">
      <c r="A25" s="69"/>
      <c r="B25" s="69"/>
      <c r="C25" s="69"/>
      <c r="D25" s="69"/>
      <c r="E25" s="69"/>
      <c r="F25" s="69"/>
      <c r="G25" s="69"/>
      <c r="J25" s="69"/>
      <c r="K25" s="69"/>
      <c r="T25" s="64">
        <v>60</v>
      </c>
      <c r="U25" s="64">
        <v>0.69499999999999995</v>
      </c>
      <c r="X25" s="68">
        <v>57</v>
      </c>
      <c r="Y25" s="80">
        <v>0.627</v>
      </c>
      <c r="AA25" s="80">
        <v>0.627</v>
      </c>
      <c r="AL25" s="64">
        <v>56.75</v>
      </c>
      <c r="AM25" s="64">
        <v>0.59799999999999998</v>
      </c>
    </row>
    <row r="26" spans="1:42" ht="18.75" x14ac:dyDescent="0.3">
      <c r="A26" s="65" t="s">
        <v>29</v>
      </c>
      <c r="B26" s="69"/>
      <c r="C26" s="69"/>
      <c r="D26" s="69"/>
      <c r="E26" s="69"/>
      <c r="F26" s="69"/>
      <c r="G26" s="69"/>
      <c r="J26" s="79">
        <f ca="1">J24/12</f>
        <v>465.66366546726539</v>
      </c>
      <c r="K26" s="69"/>
      <c r="T26" s="64">
        <v>61</v>
      </c>
      <c r="U26" s="64">
        <v>0.73</v>
      </c>
      <c r="X26" s="68">
        <v>57.083333333333336</v>
      </c>
      <c r="Y26" s="80">
        <v>0.629</v>
      </c>
      <c r="AA26" s="80">
        <v>0.629</v>
      </c>
      <c r="AL26" s="64">
        <v>56.833333333333336</v>
      </c>
      <c r="AM26" s="64">
        <v>0.6</v>
      </c>
    </row>
    <row r="27" spans="1:42" ht="15.75" x14ac:dyDescent="0.25">
      <c r="A27" s="72"/>
      <c r="B27" s="72"/>
      <c r="C27" s="72"/>
      <c r="D27" s="72"/>
      <c r="E27" s="72"/>
      <c r="F27" s="72"/>
      <c r="G27" s="72"/>
      <c r="H27" s="72"/>
      <c r="I27" s="72"/>
      <c r="J27" s="72"/>
      <c r="K27" s="72"/>
      <c r="T27" s="64">
        <v>62</v>
      </c>
      <c r="U27" s="64">
        <v>0.76700000000000002</v>
      </c>
      <c r="X27" s="68">
        <v>57.166666666666664</v>
      </c>
      <c r="Y27" s="80">
        <v>0.63100000000000001</v>
      </c>
      <c r="AA27" s="80">
        <v>0.63100000000000001</v>
      </c>
      <c r="AL27" s="64">
        <v>56.916666666666664</v>
      </c>
      <c r="AM27" s="64">
        <v>0.60299999999999998</v>
      </c>
    </row>
    <row r="28" spans="1:42" ht="15.75" x14ac:dyDescent="0.25">
      <c r="A28" s="72"/>
      <c r="B28" s="72"/>
      <c r="C28" s="72"/>
      <c r="D28" s="72"/>
      <c r="E28" s="72"/>
      <c r="F28" s="72"/>
      <c r="G28" s="72"/>
      <c r="H28" s="72"/>
      <c r="I28" s="72"/>
      <c r="J28" s="72"/>
      <c r="K28" s="72"/>
      <c r="T28" s="64">
        <v>64</v>
      </c>
      <c r="U28" s="64">
        <v>0.84899999999999998</v>
      </c>
      <c r="X28" s="68">
        <v>57.25</v>
      </c>
      <c r="Y28" s="80">
        <v>0.63400000000000001</v>
      </c>
      <c r="AA28" s="80">
        <v>0.63400000000000001</v>
      </c>
      <c r="AL28" s="64">
        <v>57</v>
      </c>
      <c r="AM28" s="64">
        <v>0.60499999999999998</v>
      </c>
    </row>
    <row r="29" spans="1:42" x14ac:dyDescent="0.25">
      <c r="T29" s="64">
        <v>63</v>
      </c>
      <c r="U29" s="64">
        <v>0.80700000000000005</v>
      </c>
      <c r="X29" s="68">
        <v>57.333333333333336</v>
      </c>
      <c r="Y29" s="80">
        <v>0.63600000000000001</v>
      </c>
      <c r="AA29" s="80">
        <v>0.63600000000000001</v>
      </c>
      <c r="AL29" s="64">
        <v>57.083333333333336</v>
      </c>
      <c r="AM29" s="64">
        <v>0.60699999999999998</v>
      </c>
    </row>
    <row r="30" spans="1:42" x14ac:dyDescent="0.25">
      <c r="T30" s="64">
        <v>65</v>
      </c>
      <c r="U30" s="64">
        <v>0.89600000000000002</v>
      </c>
      <c r="X30" s="68">
        <v>57.416666666666664</v>
      </c>
      <c r="Y30" s="80">
        <v>0.63800000000000001</v>
      </c>
      <c r="AA30" s="80">
        <v>0.63800000000000001</v>
      </c>
      <c r="AL30" s="64">
        <v>57.166666666666664</v>
      </c>
      <c r="AM30" s="64">
        <v>0.61</v>
      </c>
    </row>
    <row r="31" spans="1:42" x14ac:dyDescent="0.25">
      <c r="T31" s="64">
        <v>66</v>
      </c>
      <c r="U31" s="64">
        <v>0.94599999999999995</v>
      </c>
      <c r="X31" s="68">
        <v>57.5</v>
      </c>
      <c r="Y31" s="80">
        <v>0.64</v>
      </c>
      <c r="AA31" s="80">
        <v>0.64</v>
      </c>
      <c r="AL31" s="64">
        <v>57.25</v>
      </c>
      <c r="AM31" s="64">
        <v>0.61199999999999999</v>
      </c>
    </row>
    <row r="32" spans="1:42" x14ac:dyDescent="0.25">
      <c r="X32" s="68">
        <v>57.583333333333336</v>
      </c>
      <c r="Y32" s="80">
        <v>0.64200000000000002</v>
      </c>
      <c r="AA32" s="80">
        <v>0.64200000000000002</v>
      </c>
      <c r="AL32" s="64">
        <v>57.333333333333336</v>
      </c>
      <c r="AM32" s="64">
        <v>0.61399999999999999</v>
      </c>
    </row>
    <row r="33" spans="24:39" x14ac:dyDescent="0.25">
      <c r="X33" s="68">
        <v>57.666666666666664</v>
      </c>
      <c r="Y33" s="80">
        <v>0.64400000000000002</v>
      </c>
      <c r="AA33" s="80">
        <v>0.64400000000000002</v>
      </c>
      <c r="AL33" s="64">
        <v>57.416666666666664</v>
      </c>
      <c r="AM33" s="64">
        <v>0.61699999999999999</v>
      </c>
    </row>
    <row r="34" spans="24:39" x14ac:dyDescent="0.25">
      <c r="X34" s="68">
        <v>57.75</v>
      </c>
      <c r="Y34" s="80">
        <v>0.64700000000000002</v>
      </c>
      <c r="AA34" s="80">
        <v>0.64700000000000002</v>
      </c>
      <c r="AL34" s="64">
        <v>57.5</v>
      </c>
      <c r="AM34" s="64">
        <v>0.61899999999999999</v>
      </c>
    </row>
    <row r="35" spans="24:39" x14ac:dyDescent="0.25">
      <c r="X35" s="68">
        <v>57.833333333333336</v>
      </c>
      <c r="Y35" s="80">
        <v>0.64900000000000002</v>
      </c>
      <c r="AA35" s="80">
        <v>0.64900000000000002</v>
      </c>
      <c r="AL35" s="64">
        <v>57.583333333333336</v>
      </c>
      <c r="AM35" s="64">
        <v>0.621</v>
      </c>
    </row>
    <row r="36" spans="24:39" x14ac:dyDescent="0.25">
      <c r="X36" s="68">
        <v>57.916666666666664</v>
      </c>
      <c r="Y36" s="80">
        <v>0.65100000000000002</v>
      </c>
      <c r="AA36" s="80">
        <v>0.65100000000000002</v>
      </c>
      <c r="AL36" s="64">
        <v>57.666666666666664</v>
      </c>
      <c r="AM36" s="64">
        <v>0.624</v>
      </c>
    </row>
    <row r="37" spans="24:39" x14ac:dyDescent="0.25">
      <c r="X37" s="68">
        <v>58</v>
      </c>
      <c r="Y37" s="80">
        <v>0.65300000000000002</v>
      </c>
      <c r="AA37" s="80">
        <v>0.65300000000000002</v>
      </c>
      <c r="AL37" s="64">
        <v>57.75</v>
      </c>
      <c r="AM37" s="64">
        <v>0.626</v>
      </c>
    </row>
    <row r="38" spans="24:39" x14ac:dyDescent="0.25">
      <c r="X38" s="68">
        <v>58.083333333333336</v>
      </c>
      <c r="Y38" s="80">
        <v>0.65500000000000003</v>
      </c>
      <c r="AA38" s="80">
        <v>0.65500000000000003</v>
      </c>
      <c r="AL38" s="64">
        <v>57.833333333333336</v>
      </c>
      <c r="AM38" s="64">
        <v>0.628</v>
      </c>
    </row>
    <row r="39" spans="24:39" x14ac:dyDescent="0.25">
      <c r="X39" s="68">
        <v>58.166666666666664</v>
      </c>
      <c r="Y39" s="80">
        <v>0.65800000000000003</v>
      </c>
      <c r="AA39" s="80">
        <v>0.65800000000000003</v>
      </c>
      <c r="AL39" s="64">
        <v>57.916666666666664</v>
      </c>
      <c r="AM39" s="64">
        <v>0.63100000000000001</v>
      </c>
    </row>
    <row r="40" spans="24:39" x14ac:dyDescent="0.25">
      <c r="X40" s="68">
        <v>58.25</v>
      </c>
      <c r="Y40" s="80">
        <v>0.66</v>
      </c>
      <c r="AA40" s="80">
        <v>0.66</v>
      </c>
      <c r="AL40" s="64">
        <v>58</v>
      </c>
      <c r="AM40" s="64">
        <v>0.63300000000000001</v>
      </c>
    </row>
    <row r="41" spans="24:39" x14ac:dyDescent="0.25">
      <c r="X41" s="68">
        <v>58.333333333333336</v>
      </c>
      <c r="Y41" s="80">
        <v>0.66200000000000003</v>
      </c>
      <c r="AA41" s="80">
        <v>0.66200000000000003</v>
      </c>
      <c r="AL41" s="64">
        <v>58.083333333333336</v>
      </c>
      <c r="AM41" s="64">
        <v>0.63600000000000001</v>
      </c>
    </row>
    <row r="42" spans="24:39" x14ac:dyDescent="0.25">
      <c r="X42" s="68">
        <v>58.416666666666664</v>
      </c>
      <c r="Y42" s="80">
        <v>0.66500000000000004</v>
      </c>
      <c r="AA42" s="80">
        <v>0.66500000000000004</v>
      </c>
      <c r="AL42" s="64">
        <v>58.166666666666664</v>
      </c>
      <c r="AM42" s="64">
        <v>0.63800000000000001</v>
      </c>
    </row>
    <row r="43" spans="24:39" x14ac:dyDescent="0.25">
      <c r="X43" s="68">
        <v>58.5</v>
      </c>
      <c r="Y43" s="80">
        <v>0.66700000000000004</v>
      </c>
      <c r="AA43" s="80">
        <v>0.66700000000000004</v>
      </c>
      <c r="AL43" s="64">
        <v>58.25</v>
      </c>
      <c r="AM43" s="64">
        <v>0.64100000000000001</v>
      </c>
    </row>
    <row r="44" spans="24:39" x14ac:dyDescent="0.25">
      <c r="X44" s="68">
        <v>58.583333333333336</v>
      </c>
      <c r="Y44" s="80">
        <v>0.66900000000000004</v>
      </c>
      <c r="AA44" s="80">
        <v>0.66900000000000004</v>
      </c>
      <c r="AL44" s="64">
        <v>58.333333333333336</v>
      </c>
      <c r="AM44" s="64">
        <v>0.64300000000000002</v>
      </c>
    </row>
    <row r="45" spans="24:39" x14ac:dyDescent="0.25">
      <c r="X45" s="68">
        <v>58.666666666666664</v>
      </c>
      <c r="Y45" s="80">
        <v>0.67200000000000004</v>
      </c>
      <c r="AA45" s="80">
        <v>0.67200000000000004</v>
      </c>
      <c r="AL45" s="64">
        <v>58.416666666666664</v>
      </c>
      <c r="AM45" s="64">
        <v>0.64600000000000002</v>
      </c>
    </row>
    <row r="46" spans="24:39" x14ac:dyDescent="0.25">
      <c r="X46" s="68">
        <v>58.75</v>
      </c>
      <c r="Y46" s="80">
        <v>0.67400000000000004</v>
      </c>
      <c r="AA46" s="80">
        <v>0.67400000000000004</v>
      </c>
      <c r="AL46" s="64">
        <v>58.5</v>
      </c>
      <c r="AM46" s="64">
        <v>0.64800000000000002</v>
      </c>
    </row>
    <row r="47" spans="24:39" x14ac:dyDescent="0.25">
      <c r="X47" s="68">
        <v>58.833333333333336</v>
      </c>
      <c r="Y47" s="80">
        <v>0.67600000000000005</v>
      </c>
      <c r="AA47" s="80">
        <v>0.67600000000000005</v>
      </c>
      <c r="AL47" s="64">
        <v>58.583333333333336</v>
      </c>
      <c r="AM47" s="64">
        <v>0.65100000000000002</v>
      </c>
    </row>
    <row r="48" spans="24:39" x14ac:dyDescent="0.25">
      <c r="X48" s="68">
        <v>58.916666666666664</v>
      </c>
      <c r="Y48" s="80">
        <v>0.67900000000000005</v>
      </c>
      <c r="AA48" s="80">
        <v>0.67900000000000005</v>
      </c>
      <c r="AL48" s="64">
        <v>58.666666666666664</v>
      </c>
      <c r="AM48" s="64">
        <v>0.65300000000000002</v>
      </c>
    </row>
    <row r="49" spans="24:39" x14ac:dyDescent="0.25">
      <c r="X49" s="68">
        <v>59</v>
      </c>
      <c r="Y49" s="80">
        <v>0.68100000000000005</v>
      </c>
      <c r="AA49" s="80">
        <v>0.68100000000000005</v>
      </c>
      <c r="AL49" s="64">
        <v>58.75</v>
      </c>
      <c r="AM49" s="64">
        <v>0.65600000000000003</v>
      </c>
    </row>
    <row r="50" spans="24:39" x14ac:dyDescent="0.25">
      <c r="X50" s="68">
        <v>59.083333333333336</v>
      </c>
      <c r="Y50" s="80">
        <v>0.68300000000000005</v>
      </c>
      <c r="AA50" s="80">
        <v>0.68300000000000005</v>
      </c>
      <c r="AL50" s="64">
        <v>58.833333333333336</v>
      </c>
      <c r="AM50" s="64">
        <v>0.65800000000000003</v>
      </c>
    </row>
    <row r="51" spans="24:39" x14ac:dyDescent="0.25">
      <c r="X51" s="68">
        <v>59.166666666666664</v>
      </c>
      <c r="Y51" s="80">
        <v>0.68600000000000005</v>
      </c>
      <c r="AA51" s="80">
        <v>0.68600000000000005</v>
      </c>
      <c r="AL51" s="64">
        <v>58.916666666666664</v>
      </c>
      <c r="AM51" s="64">
        <v>0.66100000000000003</v>
      </c>
    </row>
    <row r="52" spans="24:39" x14ac:dyDescent="0.25">
      <c r="X52" s="68">
        <v>59.25</v>
      </c>
      <c r="Y52" s="80">
        <v>0.68799999999999994</v>
      </c>
      <c r="AA52" s="80">
        <v>0.68799999999999994</v>
      </c>
      <c r="AL52" s="64">
        <v>59</v>
      </c>
      <c r="AM52" s="64">
        <v>0.66300000000000003</v>
      </c>
    </row>
    <row r="53" spans="24:39" x14ac:dyDescent="0.25">
      <c r="X53" s="68">
        <v>59.333333333333336</v>
      </c>
      <c r="Y53" s="80">
        <v>0.69099999999999995</v>
      </c>
      <c r="AA53" s="80">
        <v>0.69099999999999995</v>
      </c>
      <c r="AL53" s="64">
        <v>59.083333333333336</v>
      </c>
      <c r="AM53" s="64">
        <v>0.66600000000000004</v>
      </c>
    </row>
    <row r="54" spans="24:39" x14ac:dyDescent="0.25">
      <c r="X54" s="68">
        <v>59.416666666666664</v>
      </c>
      <c r="Y54" s="80">
        <v>0.69299999999999995</v>
      </c>
      <c r="AA54" s="80">
        <v>0.69299999999999995</v>
      </c>
      <c r="AL54" s="64">
        <v>59.166666666666664</v>
      </c>
      <c r="AM54" s="64">
        <v>0.66800000000000004</v>
      </c>
    </row>
    <row r="55" spans="24:39" x14ac:dyDescent="0.25">
      <c r="X55" s="68">
        <v>59.5</v>
      </c>
      <c r="Y55" s="80">
        <v>0.69599999999999995</v>
      </c>
      <c r="AA55" s="80">
        <v>0.69599999999999995</v>
      </c>
      <c r="AL55" s="64">
        <v>59.25</v>
      </c>
      <c r="AM55" s="64">
        <v>0.67100000000000004</v>
      </c>
    </row>
    <row r="56" spans="24:39" x14ac:dyDescent="0.25">
      <c r="X56" s="68">
        <v>59.583333333333336</v>
      </c>
      <c r="Y56" s="80">
        <v>0.69799999999999995</v>
      </c>
      <c r="AA56" s="80">
        <v>0.69799999999999995</v>
      </c>
      <c r="AL56" s="64">
        <v>59.333333333333336</v>
      </c>
      <c r="AM56" s="64">
        <v>0.67400000000000004</v>
      </c>
    </row>
    <row r="57" spans="24:39" x14ac:dyDescent="0.25">
      <c r="X57" s="68">
        <v>59.666666666666664</v>
      </c>
      <c r="Y57" s="80">
        <v>0.70099999999999996</v>
      </c>
      <c r="AA57" s="80">
        <v>0.70099999999999996</v>
      </c>
      <c r="AL57" s="64">
        <v>59.416666666666664</v>
      </c>
      <c r="AM57" s="64">
        <v>0.67600000000000005</v>
      </c>
    </row>
    <row r="58" spans="24:39" x14ac:dyDescent="0.25">
      <c r="X58" s="68">
        <v>59.75</v>
      </c>
      <c r="Y58" s="80">
        <v>0.70299999999999996</v>
      </c>
      <c r="AA58" s="80">
        <v>0.70299999999999996</v>
      </c>
      <c r="AL58" s="64">
        <v>59.5</v>
      </c>
      <c r="AM58" s="64">
        <v>0.67900000000000005</v>
      </c>
    </row>
    <row r="59" spans="24:39" x14ac:dyDescent="0.25">
      <c r="X59" s="68">
        <v>59.833333333333336</v>
      </c>
      <c r="Y59" s="80">
        <v>0.70599999999999996</v>
      </c>
      <c r="AA59" s="80">
        <v>0.70599999999999996</v>
      </c>
      <c r="AL59" s="64">
        <v>59.583333333333336</v>
      </c>
      <c r="AM59" s="64">
        <v>0.68200000000000005</v>
      </c>
    </row>
    <row r="60" spans="24:39" x14ac:dyDescent="0.25">
      <c r="X60" s="68">
        <v>59.916666666666664</v>
      </c>
      <c r="Y60" s="80">
        <v>0.70799999999999996</v>
      </c>
      <c r="AA60" s="80">
        <v>0.70799999999999996</v>
      </c>
      <c r="AL60" s="64">
        <v>59.666666666666664</v>
      </c>
      <c r="AM60" s="64">
        <v>0.68500000000000005</v>
      </c>
    </row>
    <row r="61" spans="24:39" x14ac:dyDescent="0.25">
      <c r="X61" s="68">
        <v>60</v>
      </c>
      <c r="Y61" s="80">
        <v>0.71099999999999997</v>
      </c>
      <c r="AA61" s="80">
        <v>0.71099999999999997</v>
      </c>
      <c r="AL61" s="64">
        <v>59.75</v>
      </c>
      <c r="AM61" s="64">
        <v>0.68700000000000006</v>
      </c>
    </row>
    <row r="62" spans="24:39" x14ac:dyDescent="0.25">
      <c r="X62" s="68">
        <v>60.083333333333336</v>
      </c>
      <c r="Y62" s="80">
        <v>0.71299999999999997</v>
      </c>
      <c r="AA62" s="80">
        <v>0.71299999999999997</v>
      </c>
      <c r="AL62" s="64">
        <v>59.833333333333336</v>
      </c>
      <c r="AM62" s="64">
        <v>0.69</v>
      </c>
    </row>
    <row r="63" spans="24:39" x14ac:dyDescent="0.25">
      <c r="X63" s="68">
        <v>60.166666666666664</v>
      </c>
      <c r="Y63" s="80">
        <v>0.71599999999999997</v>
      </c>
      <c r="AA63" s="80">
        <v>0.71599999999999997</v>
      </c>
      <c r="AL63" s="64">
        <v>59.916666666666664</v>
      </c>
      <c r="AM63" s="64">
        <v>0.69299999999999995</v>
      </c>
    </row>
    <row r="64" spans="24:39" x14ac:dyDescent="0.25">
      <c r="X64" s="68">
        <v>60.25</v>
      </c>
      <c r="Y64" s="80">
        <v>0.71899999999999997</v>
      </c>
      <c r="AA64" s="80">
        <v>0.71899999999999997</v>
      </c>
      <c r="AL64" s="64">
        <v>60</v>
      </c>
      <c r="AM64" s="64">
        <v>0.69499999999999995</v>
      </c>
    </row>
    <row r="65" spans="24:39" x14ac:dyDescent="0.25">
      <c r="X65" s="68">
        <v>60.333333333333336</v>
      </c>
      <c r="Y65" s="80">
        <v>0.72099999999999997</v>
      </c>
      <c r="AA65" s="80">
        <v>0.72099999999999997</v>
      </c>
      <c r="AL65" s="64">
        <v>60.083333333333336</v>
      </c>
      <c r="AM65" s="64">
        <v>0.69799999999999995</v>
      </c>
    </row>
    <row r="66" spans="24:39" x14ac:dyDescent="0.25">
      <c r="X66" s="68">
        <v>60.416666666666664</v>
      </c>
      <c r="Y66" s="80">
        <v>0.72399999999999998</v>
      </c>
      <c r="AA66" s="80">
        <v>0.72399999999999998</v>
      </c>
      <c r="AL66" s="64">
        <v>60.166666666666664</v>
      </c>
      <c r="AM66" s="64">
        <v>0.70099999999999996</v>
      </c>
    </row>
    <row r="67" spans="24:39" x14ac:dyDescent="0.25">
      <c r="X67" s="68">
        <v>60.5</v>
      </c>
      <c r="Y67" s="80">
        <v>0.72699999999999998</v>
      </c>
      <c r="AA67" s="80">
        <v>0.72699999999999998</v>
      </c>
      <c r="AL67" s="64">
        <v>60.25</v>
      </c>
      <c r="AM67" s="64">
        <v>0.70399999999999996</v>
      </c>
    </row>
    <row r="68" spans="24:39" x14ac:dyDescent="0.25">
      <c r="X68" s="68">
        <v>60.583333333333336</v>
      </c>
      <c r="Y68" s="80">
        <v>0.73</v>
      </c>
      <c r="AA68" s="80">
        <v>0.73</v>
      </c>
      <c r="AL68" s="64">
        <v>60.333333333333336</v>
      </c>
      <c r="AM68" s="64">
        <v>0.70699999999999996</v>
      </c>
    </row>
    <row r="69" spans="24:39" x14ac:dyDescent="0.25">
      <c r="X69" s="68">
        <v>60.666666666666664</v>
      </c>
      <c r="Y69" s="80">
        <v>0.73199999999999998</v>
      </c>
      <c r="AA69" s="80">
        <v>0.73199999999999998</v>
      </c>
      <c r="AL69" s="64">
        <v>60.416666666666664</v>
      </c>
      <c r="AM69" s="64">
        <v>0.71</v>
      </c>
    </row>
    <row r="70" spans="24:39" x14ac:dyDescent="0.25">
      <c r="X70" s="68">
        <v>60.75</v>
      </c>
      <c r="Y70" s="80">
        <v>0.73499999999999999</v>
      </c>
      <c r="AA70" s="80">
        <v>0.73499999999999999</v>
      </c>
      <c r="AL70" s="64">
        <v>60.5</v>
      </c>
      <c r="AM70" s="64">
        <v>0.71299999999999997</v>
      </c>
    </row>
    <row r="71" spans="24:39" x14ac:dyDescent="0.25">
      <c r="X71" s="68">
        <v>60.833333333333336</v>
      </c>
      <c r="Y71" s="80">
        <v>0.73799999999999999</v>
      </c>
      <c r="AA71" s="80">
        <v>0.73799999999999999</v>
      </c>
      <c r="AL71" s="64">
        <v>60.583333333333336</v>
      </c>
      <c r="AM71" s="64">
        <v>0.71499999999999997</v>
      </c>
    </row>
    <row r="72" spans="24:39" x14ac:dyDescent="0.25">
      <c r="X72" s="68">
        <v>60.916666666666664</v>
      </c>
      <c r="Y72" s="80">
        <v>0.74</v>
      </c>
      <c r="AA72" s="80">
        <v>0.74</v>
      </c>
      <c r="AL72" s="64">
        <v>60.666666666666664</v>
      </c>
      <c r="AM72" s="64">
        <v>0.71799999999999997</v>
      </c>
    </row>
    <row r="73" spans="24:39" x14ac:dyDescent="0.25">
      <c r="X73" s="68">
        <v>61</v>
      </c>
      <c r="Y73" s="80">
        <v>0.74299999999999999</v>
      </c>
      <c r="AA73" s="80">
        <v>0.74299999999999999</v>
      </c>
      <c r="AL73" s="64">
        <v>60.75</v>
      </c>
      <c r="AM73" s="64">
        <v>0.72099999999999997</v>
      </c>
    </row>
    <row r="74" spans="24:39" x14ac:dyDescent="0.25">
      <c r="X74" s="68">
        <v>61.083333333333336</v>
      </c>
      <c r="Y74" s="80">
        <v>0.746</v>
      </c>
      <c r="AA74" s="80">
        <v>0.746</v>
      </c>
      <c r="AL74" s="64">
        <v>60.833333333333336</v>
      </c>
      <c r="AM74" s="64">
        <v>0.72399999999999998</v>
      </c>
    </row>
    <row r="75" spans="24:39" x14ac:dyDescent="0.25">
      <c r="X75" s="68">
        <v>61.166666666666664</v>
      </c>
      <c r="Y75" s="80">
        <v>0.749</v>
      </c>
      <c r="AA75" s="80">
        <v>0.749</v>
      </c>
      <c r="AL75" s="64">
        <v>60.916666666666664</v>
      </c>
      <c r="AM75" s="64">
        <v>0.72699999999999998</v>
      </c>
    </row>
    <row r="76" spans="24:39" x14ac:dyDescent="0.25">
      <c r="X76" s="68">
        <v>61.25</v>
      </c>
      <c r="Y76" s="80">
        <v>0.752</v>
      </c>
      <c r="AA76" s="80">
        <v>0.752</v>
      </c>
      <c r="AL76" s="64">
        <v>61</v>
      </c>
      <c r="AM76" s="64">
        <v>0.73</v>
      </c>
    </row>
    <row r="77" spans="24:39" x14ac:dyDescent="0.25">
      <c r="X77" s="68">
        <v>61.333333333333336</v>
      </c>
      <c r="Y77" s="80">
        <v>0.754</v>
      </c>
      <c r="AA77" s="80">
        <v>0.754</v>
      </c>
      <c r="AL77" s="64">
        <v>61.083333333333336</v>
      </c>
      <c r="AM77" s="64">
        <v>0.73299999999999998</v>
      </c>
    </row>
    <row r="78" spans="24:39" x14ac:dyDescent="0.25">
      <c r="X78" s="68">
        <v>61.416666666666664</v>
      </c>
      <c r="Y78" s="80">
        <v>0.75700000000000001</v>
      </c>
      <c r="AA78" s="80">
        <v>0.75700000000000001</v>
      </c>
      <c r="AL78" s="64">
        <v>61.166666666666664</v>
      </c>
      <c r="AM78" s="64">
        <v>0.73599999999999999</v>
      </c>
    </row>
    <row r="79" spans="24:39" x14ac:dyDescent="0.25">
      <c r="X79" s="68">
        <v>61.5</v>
      </c>
      <c r="Y79" s="80">
        <v>0.76</v>
      </c>
      <c r="AA79" s="80">
        <v>0.76</v>
      </c>
      <c r="AL79" s="64">
        <v>61.25</v>
      </c>
      <c r="AM79" s="64">
        <v>0.73899999999999999</v>
      </c>
    </row>
    <row r="80" spans="24:39" x14ac:dyDescent="0.25">
      <c r="X80" s="68">
        <v>61.583333333333336</v>
      </c>
      <c r="Y80" s="80">
        <v>0.76300000000000001</v>
      </c>
      <c r="AA80" s="80">
        <v>0.76300000000000001</v>
      </c>
      <c r="AL80" s="64">
        <v>61.333333333333336</v>
      </c>
      <c r="AM80" s="64">
        <v>0.74199999999999999</v>
      </c>
    </row>
    <row r="81" spans="24:39" x14ac:dyDescent="0.25">
      <c r="X81" s="68">
        <v>61.666666666666664</v>
      </c>
      <c r="Y81" s="80">
        <v>0.76600000000000001</v>
      </c>
      <c r="AA81" s="80">
        <v>0.76600000000000001</v>
      </c>
      <c r="AL81" s="64">
        <v>61.416666666666664</v>
      </c>
      <c r="AM81" s="64">
        <v>0.745</v>
      </c>
    </row>
    <row r="82" spans="24:39" x14ac:dyDescent="0.25">
      <c r="X82" s="68">
        <v>61.75</v>
      </c>
      <c r="Y82" s="80">
        <v>0.76900000000000002</v>
      </c>
      <c r="AA82" s="80">
        <v>0.76900000000000002</v>
      </c>
      <c r="AL82" s="64">
        <v>61.5</v>
      </c>
      <c r="AM82" s="64">
        <v>0.748</v>
      </c>
    </row>
    <row r="83" spans="24:39" x14ac:dyDescent="0.25">
      <c r="X83" s="68">
        <v>61.833333333333336</v>
      </c>
      <c r="Y83" s="80">
        <v>0.77200000000000002</v>
      </c>
      <c r="AA83" s="80">
        <v>0.77200000000000002</v>
      </c>
      <c r="AL83" s="64">
        <v>61.583333333333336</v>
      </c>
      <c r="AM83" s="64">
        <v>0.751</v>
      </c>
    </row>
    <row r="84" spans="24:39" x14ac:dyDescent="0.25">
      <c r="X84" s="68">
        <v>61.916666666666664</v>
      </c>
      <c r="Y84" s="80">
        <v>0.77500000000000002</v>
      </c>
      <c r="AA84" s="80">
        <v>0.77500000000000002</v>
      </c>
      <c r="AL84" s="64">
        <v>61.666666666666664</v>
      </c>
      <c r="AM84" s="64">
        <v>0.754</v>
      </c>
    </row>
    <row r="85" spans="24:39" x14ac:dyDescent="0.25">
      <c r="X85" s="68">
        <v>62</v>
      </c>
      <c r="Y85" s="80">
        <v>0.77700000000000002</v>
      </c>
      <c r="AA85" s="80">
        <v>0.77700000000000002</v>
      </c>
      <c r="AL85" s="64">
        <v>61.75</v>
      </c>
      <c r="AM85" s="64">
        <v>0.75700000000000001</v>
      </c>
    </row>
    <row r="86" spans="24:39" x14ac:dyDescent="0.25">
      <c r="X86" s="68">
        <v>62.083333333333336</v>
      </c>
      <c r="Y86" s="80">
        <v>0.78100000000000003</v>
      </c>
      <c r="AA86" s="80">
        <v>0.78100000000000003</v>
      </c>
      <c r="AL86" s="64">
        <v>61.833333333333336</v>
      </c>
      <c r="AM86" s="64">
        <v>0.76100000000000001</v>
      </c>
    </row>
    <row r="87" spans="24:39" x14ac:dyDescent="0.25">
      <c r="X87" s="68">
        <v>62.166666666666664</v>
      </c>
      <c r="Y87" s="80">
        <v>0.78400000000000003</v>
      </c>
      <c r="AA87" s="80">
        <v>0.78400000000000003</v>
      </c>
      <c r="AL87" s="64">
        <v>61.916666666666664</v>
      </c>
      <c r="AM87" s="64">
        <v>0.76400000000000001</v>
      </c>
    </row>
    <row r="88" spans="24:39" x14ac:dyDescent="0.25">
      <c r="X88" s="68">
        <v>62.25</v>
      </c>
      <c r="Y88" s="80">
        <v>0.78700000000000003</v>
      </c>
      <c r="AA88" s="80">
        <v>0.78700000000000003</v>
      </c>
      <c r="AL88" s="64">
        <v>62</v>
      </c>
      <c r="AM88" s="64">
        <v>0.76700000000000002</v>
      </c>
    </row>
    <row r="89" spans="24:39" x14ac:dyDescent="0.25">
      <c r="X89" s="68">
        <v>62.333333333333336</v>
      </c>
      <c r="Y89" s="80">
        <v>0.79</v>
      </c>
      <c r="AA89" s="80">
        <v>0.79</v>
      </c>
      <c r="AL89" s="64">
        <v>62.083333333333336</v>
      </c>
      <c r="AM89" s="64">
        <v>0.77</v>
      </c>
    </row>
    <row r="90" spans="24:39" x14ac:dyDescent="0.25">
      <c r="X90" s="68">
        <v>62.416666666666664</v>
      </c>
      <c r="Y90" s="80">
        <v>0.79300000000000004</v>
      </c>
      <c r="AA90" s="80">
        <v>0.79300000000000004</v>
      </c>
      <c r="AL90" s="64">
        <v>62.166666666666664</v>
      </c>
      <c r="AM90" s="64">
        <v>0.77300000000000002</v>
      </c>
    </row>
    <row r="91" spans="24:39" x14ac:dyDescent="0.25">
      <c r="X91" s="68">
        <v>62.5</v>
      </c>
      <c r="Y91" s="80">
        <v>0.79600000000000004</v>
      </c>
      <c r="AA91" s="80">
        <v>0.79600000000000004</v>
      </c>
      <c r="AL91" s="64">
        <v>62.25</v>
      </c>
      <c r="AM91" s="64">
        <v>0.77700000000000002</v>
      </c>
    </row>
    <row r="92" spans="24:39" x14ac:dyDescent="0.25">
      <c r="X92" s="68">
        <v>62.583333333333336</v>
      </c>
      <c r="Y92" s="80">
        <v>0.79900000000000004</v>
      </c>
      <c r="AA92" s="80">
        <v>0.79900000000000004</v>
      </c>
      <c r="AL92" s="64">
        <v>62.333333333333336</v>
      </c>
      <c r="AM92" s="64">
        <v>0.78</v>
      </c>
    </row>
    <row r="93" spans="24:39" x14ac:dyDescent="0.25">
      <c r="X93" s="68">
        <v>62.666666666666664</v>
      </c>
      <c r="Y93" s="80">
        <v>0.80200000000000005</v>
      </c>
      <c r="AA93" s="80">
        <v>0.80200000000000005</v>
      </c>
      <c r="AL93" s="64">
        <v>62.416666666666664</v>
      </c>
      <c r="AM93" s="64">
        <v>0.78300000000000003</v>
      </c>
    </row>
    <row r="94" spans="24:39" x14ac:dyDescent="0.25">
      <c r="X94" s="68">
        <v>62.75</v>
      </c>
      <c r="Y94" s="80">
        <v>0.80600000000000005</v>
      </c>
      <c r="AA94" s="80">
        <v>0.80600000000000005</v>
      </c>
      <c r="AL94" s="64">
        <v>62.5</v>
      </c>
      <c r="AM94" s="64">
        <v>0.78700000000000003</v>
      </c>
    </row>
    <row r="95" spans="24:39" x14ac:dyDescent="0.25">
      <c r="X95" s="68">
        <v>62.833333333333336</v>
      </c>
      <c r="Y95" s="80">
        <v>0.80900000000000005</v>
      </c>
      <c r="AA95" s="80">
        <v>0.80900000000000005</v>
      </c>
      <c r="AL95" s="64">
        <v>62.583333333333336</v>
      </c>
      <c r="AM95" s="64">
        <v>0.79</v>
      </c>
    </row>
    <row r="96" spans="24:39" x14ac:dyDescent="0.25">
      <c r="X96" s="68">
        <v>62.916666666666664</v>
      </c>
      <c r="Y96" s="80">
        <v>0.81200000000000006</v>
      </c>
      <c r="AA96" s="80">
        <v>0.81200000000000006</v>
      </c>
      <c r="AL96" s="64">
        <v>62.666666666666664</v>
      </c>
      <c r="AM96" s="64">
        <v>0.79300000000000004</v>
      </c>
    </row>
    <row r="97" spans="24:39" x14ac:dyDescent="0.25">
      <c r="X97" s="68">
        <v>63</v>
      </c>
      <c r="Y97" s="80">
        <v>0.81499999999999995</v>
      </c>
      <c r="AA97" s="80">
        <v>0.81499999999999995</v>
      </c>
      <c r="AL97" s="64">
        <v>62.75</v>
      </c>
      <c r="AM97" s="64">
        <v>0.79700000000000004</v>
      </c>
    </row>
    <row r="98" spans="24:39" x14ac:dyDescent="0.25">
      <c r="X98" s="68">
        <v>63.083333333333336</v>
      </c>
      <c r="Y98" s="80">
        <v>0.81799999999999995</v>
      </c>
      <c r="AA98" s="80">
        <v>0.81799999999999995</v>
      </c>
      <c r="AL98" s="64">
        <v>62.833333333333336</v>
      </c>
      <c r="AM98" s="64">
        <v>0.8</v>
      </c>
    </row>
    <row r="99" spans="24:39" x14ac:dyDescent="0.25">
      <c r="X99" s="68">
        <v>63.166666666666664</v>
      </c>
      <c r="Y99" s="80">
        <v>0.82199999999999995</v>
      </c>
      <c r="AA99" s="80">
        <v>0.82199999999999995</v>
      </c>
      <c r="AL99" s="64">
        <v>62.916666666666664</v>
      </c>
      <c r="AM99" s="64">
        <v>0.80300000000000005</v>
      </c>
    </row>
    <row r="100" spans="24:39" x14ac:dyDescent="0.25">
      <c r="X100" s="68">
        <v>63.25</v>
      </c>
      <c r="Y100" s="80">
        <v>0.82499999999999996</v>
      </c>
      <c r="AA100" s="80">
        <v>0.82499999999999996</v>
      </c>
      <c r="AL100" s="64">
        <v>63</v>
      </c>
      <c r="AM100" s="64">
        <v>0.80700000000000005</v>
      </c>
    </row>
    <row r="101" spans="24:39" x14ac:dyDescent="0.25">
      <c r="X101" s="68">
        <v>63.333333333333336</v>
      </c>
      <c r="Y101" s="80">
        <v>0.82799999999999996</v>
      </c>
      <c r="AA101" s="80">
        <v>0.82799999999999996</v>
      </c>
      <c r="AL101" s="64">
        <v>63.083333333333336</v>
      </c>
      <c r="AM101" s="64">
        <v>0.81</v>
      </c>
    </row>
    <row r="102" spans="24:39" x14ac:dyDescent="0.25">
      <c r="X102" s="68">
        <v>63.416666666666664</v>
      </c>
      <c r="Y102" s="80">
        <v>0.83199999999999996</v>
      </c>
      <c r="AA102" s="80">
        <v>0.83199999999999996</v>
      </c>
      <c r="AL102" s="64">
        <v>63.166666666666664</v>
      </c>
      <c r="AM102" s="64">
        <v>0.81399999999999995</v>
      </c>
    </row>
    <row r="103" spans="24:39" x14ac:dyDescent="0.25">
      <c r="X103" s="68">
        <v>63.5</v>
      </c>
      <c r="Y103" s="80">
        <v>0.83499999999999996</v>
      </c>
      <c r="AA103" s="80">
        <v>0.83499999999999996</v>
      </c>
      <c r="AL103" s="64">
        <v>63.25</v>
      </c>
      <c r="AM103" s="64">
        <v>0.81699999999999995</v>
      </c>
    </row>
    <row r="104" spans="24:39" x14ac:dyDescent="0.25">
      <c r="X104" s="68">
        <v>63.583333333333336</v>
      </c>
      <c r="Y104" s="80">
        <v>0.83899999999999997</v>
      </c>
      <c r="AA104" s="80">
        <v>0.83899999999999997</v>
      </c>
      <c r="AL104" s="64">
        <v>63.333333333333336</v>
      </c>
      <c r="AM104" s="64">
        <v>0.82099999999999995</v>
      </c>
    </row>
    <row r="105" spans="24:39" x14ac:dyDescent="0.25">
      <c r="X105" s="68">
        <v>63.666666666666664</v>
      </c>
      <c r="Y105" s="80">
        <v>0.84199999999999997</v>
      </c>
      <c r="AA105" s="80">
        <v>0.84199999999999997</v>
      </c>
      <c r="AL105" s="64">
        <v>63.416666666666664</v>
      </c>
      <c r="AM105" s="64">
        <v>0.82399999999999995</v>
      </c>
    </row>
    <row r="106" spans="24:39" x14ac:dyDescent="0.25">
      <c r="X106" s="68">
        <v>63.75</v>
      </c>
      <c r="Y106" s="80">
        <v>0.84499999999999997</v>
      </c>
      <c r="AA106" s="80">
        <v>0.84499999999999997</v>
      </c>
      <c r="AL106" s="64">
        <v>63.5</v>
      </c>
      <c r="AM106" s="64">
        <v>0.82799999999999996</v>
      </c>
    </row>
    <row r="107" spans="24:39" x14ac:dyDescent="0.25">
      <c r="X107" s="68">
        <v>63.833333333333336</v>
      </c>
      <c r="Y107" s="80">
        <v>0.84899999999999998</v>
      </c>
      <c r="AA107" s="80">
        <v>0.84899999999999998</v>
      </c>
      <c r="AL107" s="64">
        <v>63.583333333333336</v>
      </c>
      <c r="AM107" s="64">
        <v>0.83199999999999996</v>
      </c>
    </row>
    <row r="108" spans="24:39" x14ac:dyDescent="0.25">
      <c r="X108" s="68">
        <v>63.916666666666664</v>
      </c>
      <c r="Y108" s="80">
        <v>0.85199999999999998</v>
      </c>
      <c r="AA108" s="80">
        <v>0.85199999999999998</v>
      </c>
      <c r="AL108" s="64">
        <v>63.666666666666664</v>
      </c>
      <c r="AM108" s="64">
        <v>0.83499999999999996</v>
      </c>
    </row>
    <row r="109" spans="24:39" x14ac:dyDescent="0.25">
      <c r="X109" s="68">
        <v>64</v>
      </c>
      <c r="Y109" s="80">
        <v>0.85499999999999998</v>
      </c>
      <c r="AA109" s="80">
        <v>0.85499999999999998</v>
      </c>
      <c r="AL109" s="64">
        <v>63.75</v>
      </c>
      <c r="AM109" s="64">
        <v>0.83899999999999997</v>
      </c>
    </row>
    <row r="110" spans="24:39" x14ac:dyDescent="0.25">
      <c r="X110" s="68">
        <v>64.083333333333329</v>
      </c>
      <c r="Y110" s="80">
        <v>0.85899999999999999</v>
      </c>
      <c r="AA110" s="80">
        <v>0.85899999999999999</v>
      </c>
      <c r="AL110" s="64">
        <v>63.833333333333336</v>
      </c>
      <c r="AM110" s="64">
        <v>0.84199999999999997</v>
      </c>
    </row>
    <row r="111" spans="24:39" x14ac:dyDescent="0.25">
      <c r="X111" s="68">
        <v>64.166666666666671</v>
      </c>
      <c r="Y111" s="80">
        <v>0.86299999999999999</v>
      </c>
      <c r="AA111" s="80">
        <v>0.86299999999999999</v>
      </c>
      <c r="AL111" s="64">
        <v>63.916666666666664</v>
      </c>
      <c r="AM111" s="64">
        <v>0.84599999999999997</v>
      </c>
    </row>
    <row r="112" spans="24:39" x14ac:dyDescent="0.25">
      <c r="X112" s="68">
        <v>64.25</v>
      </c>
      <c r="Y112" s="80">
        <v>0.86599999999999999</v>
      </c>
      <c r="AA112" s="80">
        <v>0.86599999999999999</v>
      </c>
      <c r="AL112" s="64">
        <v>64</v>
      </c>
      <c r="AM112" s="64">
        <v>0.84899999999999998</v>
      </c>
    </row>
    <row r="113" spans="24:39" x14ac:dyDescent="0.25">
      <c r="X113" s="68">
        <v>64.333333333333329</v>
      </c>
      <c r="Y113" s="80">
        <v>0.87</v>
      </c>
      <c r="AA113" s="80">
        <v>0.87</v>
      </c>
      <c r="AL113" s="64">
        <v>64.083333333333329</v>
      </c>
      <c r="AM113" s="64">
        <v>0.85299999999999998</v>
      </c>
    </row>
    <row r="114" spans="24:39" x14ac:dyDescent="0.25">
      <c r="X114" s="68">
        <v>64.416666666666671</v>
      </c>
      <c r="Y114" s="80">
        <v>0.874</v>
      </c>
      <c r="AA114" s="80">
        <v>0.874</v>
      </c>
      <c r="AL114" s="64">
        <v>64.166666666666671</v>
      </c>
      <c r="AM114" s="64">
        <v>0.85699999999999998</v>
      </c>
    </row>
    <row r="115" spans="24:39" x14ac:dyDescent="0.25">
      <c r="X115" s="68">
        <v>64.5</v>
      </c>
      <c r="Y115" s="80">
        <v>0.877</v>
      </c>
      <c r="AA115" s="80">
        <v>0.877</v>
      </c>
      <c r="AL115" s="64">
        <v>64.25</v>
      </c>
      <c r="AM115" s="64">
        <v>0.86099999999999999</v>
      </c>
    </row>
    <row r="116" spans="24:39" x14ac:dyDescent="0.25">
      <c r="X116" s="68">
        <v>64.583333333333329</v>
      </c>
      <c r="Y116" s="80">
        <v>0.88100000000000001</v>
      </c>
      <c r="AA116" s="80">
        <v>0.88100000000000001</v>
      </c>
      <c r="AL116" s="64">
        <v>64.333333333333329</v>
      </c>
      <c r="AM116" s="64">
        <v>0.86499999999999999</v>
      </c>
    </row>
    <row r="117" spans="24:39" x14ac:dyDescent="0.25">
      <c r="X117" s="68">
        <v>64.666666666666671</v>
      </c>
      <c r="Y117" s="80">
        <v>0.88500000000000001</v>
      </c>
      <c r="AA117" s="80">
        <v>0.88500000000000001</v>
      </c>
      <c r="AL117" s="64">
        <v>64.416666666666671</v>
      </c>
      <c r="AM117" s="64">
        <v>0.86899999999999999</v>
      </c>
    </row>
    <row r="118" spans="24:39" x14ac:dyDescent="0.25">
      <c r="X118" s="68">
        <v>64.75</v>
      </c>
      <c r="Y118" s="80">
        <v>0.88800000000000001</v>
      </c>
      <c r="AA118" s="80">
        <v>0.88800000000000001</v>
      </c>
      <c r="AL118" s="64">
        <v>64.5</v>
      </c>
      <c r="AM118" s="64">
        <v>0.873</v>
      </c>
    </row>
    <row r="119" spans="24:39" x14ac:dyDescent="0.25">
      <c r="X119" s="68">
        <v>64.833333333333329</v>
      </c>
      <c r="Y119" s="80">
        <v>0.89200000000000002</v>
      </c>
      <c r="AA119" s="80">
        <v>0.89200000000000002</v>
      </c>
      <c r="AL119" s="64">
        <v>64.583333333333329</v>
      </c>
      <c r="AM119" s="64">
        <v>0.876</v>
      </c>
    </row>
    <row r="120" spans="24:39" x14ac:dyDescent="0.25">
      <c r="X120" s="68">
        <v>64.916666666666671</v>
      </c>
      <c r="Y120" s="80">
        <v>0.89600000000000002</v>
      </c>
      <c r="AA120" s="80">
        <v>0.89600000000000002</v>
      </c>
      <c r="AL120" s="64">
        <v>64.666666666666671</v>
      </c>
      <c r="AM120" s="64">
        <v>0.88</v>
      </c>
    </row>
    <row r="121" spans="24:39" x14ac:dyDescent="0.25">
      <c r="X121" s="68">
        <v>65</v>
      </c>
      <c r="Y121" s="80">
        <v>0.89900000000000002</v>
      </c>
      <c r="AA121" s="80">
        <v>0.89900000000000002</v>
      </c>
      <c r="AL121" s="64">
        <v>64.75</v>
      </c>
      <c r="AM121" s="64">
        <v>0.88400000000000001</v>
      </c>
    </row>
    <row r="122" spans="24:39" x14ac:dyDescent="0.25">
      <c r="X122" s="68">
        <v>65.0833333333333</v>
      </c>
      <c r="Y122" s="80">
        <v>0.90300000000000002</v>
      </c>
      <c r="AA122" s="80">
        <v>0.90300000000000002</v>
      </c>
      <c r="AL122" s="64">
        <v>64.833333333333329</v>
      </c>
      <c r="AM122" s="64">
        <v>0.88800000000000001</v>
      </c>
    </row>
    <row r="123" spans="24:39" x14ac:dyDescent="0.25">
      <c r="X123" s="68">
        <v>65.1666666666667</v>
      </c>
      <c r="Y123" s="80">
        <v>0.90700000000000003</v>
      </c>
      <c r="AA123" s="80">
        <v>0.90700000000000003</v>
      </c>
      <c r="AL123" s="64">
        <v>64.916666666666671</v>
      </c>
      <c r="AM123" s="64">
        <v>0.89200000000000002</v>
      </c>
    </row>
    <row r="124" spans="24:39" x14ac:dyDescent="0.25">
      <c r="X124" s="68">
        <v>65.25</v>
      </c>
      <c r="Y124" s="80">
        <v>0.91100000000000003</v>
      </c>
      <c r="AA124" s="80">
        <v>0.91100000000000003</v>
      </c>
      <c r="AL124" s="64">
        <v>65</v>
      </c>
      <c r="AM124" s="64">
        <v>0.89600000000000002</v>
      </c>
    </row>
    <row r="125" spans="24:39" x14ac:dyDescent="0.25">
      <c r="X125" s="68">
        <v>65.3333333333333</v>
      </c>
      <c r="Y125" s="80">
        <v>0.91500000000000004</v>
      </c>
      <c r="AA125" s="80">
        <v>0.91500000000000004</v>
      </c>
      <c r="AL125" s="64">
        <v>65.0833333333333</v>
      </c>
      <c r="AM125" s="64">
        <v>0.9</v>
      </c>
    </row>
    <row r="126" spans="24:39" x14ac:dyDescent="0.25">
      <c r="X126" s="68">
        <v>65.4166666666667</v>
      </c>
      <c r="Y126" s="80">
        <v>0.91900000000000004</v>
      </c>
      <c r="AA126" s="80">
        <v>0.91900000000000004</v>
      </c>
      <c r="AL126" s="64">
        <v>65.1666666666667</v>
      </c>
      <c r="AM126" s="64">
        <v>0.90400000000000003</v>
      </c>
    </row>
    <row r="127" spans="24:39" x14ac:dyDescent="0.25">
      <c r="X127" s="68">
        <v>65.5</v>
      </c>
      <c r="Y127" s="80">
        <v>0.92300000000000004</v>
      </c>
      <c r="AA127" s="80">
        <v>0.92300000000000004</v>
      </c>
      <c r="AL127" s="64">
        <v>65.25</v>
      </c>
      <c r="AM127" s="64">
        <v>0.90800000000000003</v>
      </c>
    </row>
    <row r="128" spans="24:39" x14ac:dyDescent="0.25">
      <c r="X128" s="68">
        <v>65.5833333333333</v>
      </c>
      <c r="Y128" s="80">
        <v>0.92700000000000005</v>
      </c>
      <c r="AA128" s="80">
        <v>0.92700000000000005</v>
      </c>
      <c r="AL128" s="64">
        <v>65.3333333333333</v>
      </c>
      <c r="AM128" s="64">
        <v>0.91200000000000003</v>
      </c>
    </row>
    <row r="129" spans="24:39" x14ac:dyDescent="0.25">
      <c r="X129" s="68">
        <v>65.6666666666667</v>
      </c>
      <c r="Y129" s="80">
        <v>0.93100000000000005</v>
      </c>
      <c r="AA129" s="80">
        <v>0.93100000000000005</v>
      </c>
      <c r="AL129" s="64">
        <v>65.4166666666667</v>
      </c>
      <c r="AM129" s="64">
        <v>0.91700000000000004</v>
      </c>
    </row>
    <row r="130" spans="24:39" x14ac:dyDescent="0.25">
      <c r="X130" s="68">
        <v>65.75</v>
      </c>
      <c r="Y130" s="80">
        <v>0.93500000000000005</v>
      </c>
      <c r="AA130" s="80">
        <v>0.93500000000000005</v>
      </c>
      <c r="AL130" s="64">
        <v>65.5</v>
      </c>
      <c r="AM130" s="64">
        <v>0.92100000000000004</v>
      </c>
    </row>
    <row r="131" spans="24:39" x14ac:dyDescent="0.25">
      <c r="X131" s="68">
        <v>65.8333333333333</v>
      </c>
      <c r="Y131" s="80">
        <v>0.93899999999999995</v>
      </c>
      <c r="AA131" s="80">
        <v>0.93899999999999995</v>
      </c>
      <c r="AL131" s="64">
        <v>65.5833333333333</v>
      </c>
      <c r="AM131" s="64">
        <v>0.92500000000000004</v>
      </c>
    </row>
    <row r="132" spans="24:39" x14ac:dyDescent="0.25">
      <c r="X132" s="68">
        <v>65.9166666666667</v>
      </c>
      <c r="Y132" s="80">
        <v>0.94399999999999995</v>
      </c>
      <c r="AA132" s="80">
        <v>0.94399999999999995</v>
      </c>
      <c r="AL132" s="64">
        <v>65.6666666666667</v>
      </c>
      <c r="AM132" s="64">
        <v>0.92900000000000005</v>
      </c>
    </row>
    <row r="133" spans="24:39" x14ac:dyDescent="0.25">
      <c r="X133" s="68">
        <v>66</v>
      </c>
      <c r="Y133" s="80">
        <v>0.94799999999999995</v>
      </c>
      <c r="AA133" s="80">
        <v>0.94799999999999995</v>
      </c>
      <c r="AL133" s="64">
        <v>65.75</v>
      </c>
      <c r="AM133" s="64">
        <v>0.93300000000000005</v>
      </c>
    </row>
    <row r="134" spans="24:39" x14ac:dyDescent="0.25">
      <c r="X134" s="68">
        <v>66.0833333333333</v>
      </c>
      <c r="Y134" s="80">
        <v>0.95199999999999996</v>
      </c>
      <c r="AA134" s="80">
        <v>0.95199999999999996</v>
      </c>
      <c r="AL134" s="64">
        <v>65.8333333333333</v>
      </c>
      <c r="AM134" s="64">
        <v>0.93700000000000006</v>
      </c>
    </row>
    <row r="135" spans="24:39" x14ac:dyDescent="0.25">
      <c r="X135" s="68">
        <v>66.1666666666667</v>
      </c>
      <c r="Y135" s="80">
        <v>0.95599999999999996</v>
      </c>
      <c r="AA135" s="80">
        <v>0.95599999999999996</v>
      </c>
      <c r="AL135" s="64">
        <v>65.9166666666667</v>
      </c>
      <c r="AM135" s="64">
        <v>0.94199999999999995</v>
      </c>
    </row>
    <row r="136" spans="24:39" x14ac:dyDescent="0.25">
      <c r="X136" s="68">
        <v>66.25</v>
      </c>
      <c r="Y136" s="80">
        <v>0.96099999999999997</v>
      </c>
      <c r="AA136" s="80">
        <v>0.96099999999999997</v>
      </c>
      <c r="AL136" s="64">
        <v>66</v>
      </c>
      <c r="AM136" s="64">
        <v>0.94599999999999995</v>
      </c>
    </row>
    <row r="137" spans="24:39" x14ac:dyDescent="0.25">
      <c r="X137" s="68">
        <v>66.3333333333333</v>
      </c>
      <c r="Y137" s="80">
        <v>0.96499999999999997</v>
      </c>
      <c r="AA137" s="80">
        <v>0.96499999999999997</v>
      </c>
      <c r="AL137" s="64">
        <v>66.0833333333333</v>
      </c>
      <c r="AM137" s="64">
        <v>0.95</v>
      </c>
    </row>
    <row r="138" spans="24:39" x14ac:dyDescent="0.25">
      <c r="X138" s="68">
        <v>66.4166666666667</v>
      </c>
      <c r="Y138" s="80">
        <v>0.96899999999999997</v>
      </c>
      <c r="AA138" s="80">
        <v>0.96899999999999997</v>
      </c>
      <c r="AL138" s="64">
        <v>66.166666666666671</v>
      </c>
      <c r="AM138" s="64">
        <v>0.95499999999999996</v>
      </c>
    </row>
    <row r="139" spans="24:39" x14ac:dyDescent="0.25">
      <c r="X139" s="68">
        <v>66.5</v>
      </c>
      <c r="Y139" s="80">
        <v>0.97399999999999998</v>
      </c>
      <c r="AA139" s="80">
        <v>0.97399999999999998</v>
      </c>
      <c r="AL139" s="64">
        <v>66.25</v>
      </c>
      <c r="AM139" s="64">
        <v>0.95899999999999996</v>
      </c>
    </row>
    <row r="140" spans="24:39" x14ac:dyDescent="0.25">
      <c r="X140" s="68">
        <v>66.5833333333333</v>
      </c>
      <c r="Y140" s="80">
        <v>0.97799999999999998</v>
      </c>
      <c r="AA140" s="80">
        <v>0.97799999999999998</v>
      </c>
      <c r="AL140" s="64">
        <v>66.3333333333333</v>
      </c>
      <c r="AM140" s="64">
        <v>0.96399999999999997</v>
      </c>
    </row>
    <row r="141" spans="24:39" x14ac:dyDescent="0.25">
      <c r="X141" s="68">
        <v>66.6666666666667</v>
      </c>
      <c r="Y141" s="80">
        <v>0.98299999999999998</v>
      </c>
      <c r="AA141" s="80">
        <v>0.98299999999999998</v>
      </c>
      <c r="AL141" s="64">
        <v>66.4166666666667</v>
      </c>
      <c r="AM141" s="64">
        <v>0.96799999999999997</v>
      </c>
    </row>
    <row r="142" spans="24:39" x14ac:dyDescent="0.25">
      <c r="X142" s="68">
        <v>66.75</v>
      </c>
      <c r="Y142" s="80">
        <v>0.98699999999999999</v>
      </c>
      <c r="AA142" s="80">
        <v>0.98699999999999999</v>
      </c>
      <c r="AL142" s="64">
        <v>66.5</v>
      </c>
      <c r="AM142" s="64">
        <v>0.97299999999999998</v>
      </c>
    </row>
    <row r="143" spans="24:39" x14ac:dyDescent="0.25">
      <c r="X143" s="68">
        <v>66.8333333333333</v>
      </c>
      <c r="Y143" s="80">
        <v>0.99099999999999999</v>
      </c>
      <c r="AA143" s="80">
        <v>0.99099999999999999</v>
      </c>
      <c r="AL143" s="64">
        <v>66.5833333333333</v>
      </c>
      <c r="AM143" s="64">
        <v>0.97699999999999998</v>
      </c>
    </row>
    <row r="144" spans="24:39" x14ac:dyDescent="0.25">
      <c r="X144" s="68">
        <v>66.9166666666667</v>
      </c>
      <c r="Y144" s="80">
        <v>0.996</v>
      </c>
      <c r="AA144" s="80">
        <v>0.996</v>
      </c>
      <c r="AL144" s="64">
        <v>66.6666666666667</v>
      </c>
      <c r="AM144" s="64">
        <v>0.98199999999999998</v>
      </c>
    </row>
    <row r="145" spans="24:39" x14ac:dyDescent="0.25">
      <c r="X145" s="68">
        <v>67</v>
      </c>
      <c r="Y145" s="80">
        <v>1</v>
      </c>
      <c r="AA145" s="80">
        <v>1</v>
      </c>
      <c r="AB145" s="68">
        <v>67</v>
      </c>
      <c r="AC145" s="64">
        <v>0.94599999999999995</v>
      </c>
      <c r="AL145" s="64">
        <v>66.75</v>
      </c>
      <c r="AM145" s="64">
        <v>0.98599999999999999</v>
      </c>
    </row>
    <row r="146" spans="24:39" x14ac:dyDescent="0.25">
      <c r="X146" s="68">
        <v>67.0833333333333</v>
      </c>
      <c r="Y146" s="80">
        <v>1</v>
      </c>
      <c r="AB146" s="68">
        <v>67.0833333333333</v>
      </c>
      <c r="AC146" s="64">
        <v>0.95</v>
      </c>
      <c r="AL146" s="64">
        <v>66.8333333333333</v>
      </c>
      <c r="AM146" s="64">
        <v>0.99099999999999999</v>
      </c>
    </row>
    <row r="147" spans="24:39" x14ac:dyDescent="0.25">
      <c r="X147" s="68">
        <f>67+(2/12)</f>
        <v>67.166666666666671</v>
      </c>
      <c r="Y147" s="80">
        <v>1</v>
      </c>
      <c r="AB147" s="68">
        <v>67.167676767676696</v>
      </c>
      <c r="AC147" s="64">
        <v>0.95499999999999996</v>
      </c>
      <c r="AL147" s="64">
        <v>66.916666666666671</v>
      </c>
      <c r="AM147" s="64">
        <v>0.995</v>
      </c>
    </row>
    <row r="148" spans="24:39" x14ac:dyDescent="0.25">
      <c r="X148" s="68">
        <v>67.25</v>
      </c>
      <c r="Y148" s="80">
        <v>1</v>
      </c>
      <c r="AB148" s="68">
        <v>67.25</v>
      </c>
      <c r="AC148" s="64">
        <v>0.95899999999999996</v>
      </c>
      <c r="AL148" s="64">
        <v>67</v>
      </c>
      <c r="AM148" s="64">
        <v>1</v>
      </c>
    </row>
    <row r="149" spans="24:39" x14ac:dyDescent="0.25">
      <c r="X149" s="68">
        <v>67.3333333333333</v>
      </c>
      <c r="Y149" s="80">
        <v>1</v>
      </c>
      <c r="AB149" s="68">
        <v>67.3333333333333</v>
      </c>
      <c r="AC149" s="64">
        <v>0.96399999999999997</v>
      </c>
      <c r="AL149" s="64">
        <v>67.0833333333333</v>
      </c>
      <c r="AM149" s="64">
        <v>1</v>
      </c>
    </row>
    <row r="150" spans="24:39" x14ac:dyDescent="0.25">
      <c r="X150" s="68">
        <v>67.416767676767705</v>
      </c>
      <c r="Y150" s="80">
        <v>1</v>
      </c>
      <c r="AB150" s="68">
        <v>67.416767676767705</v>
      </c>
      <c r="AC150" s="64">
        <v>0.96799999999999997</v>
      </c>
      <c r="AL150" s="64">
        <v>67.167676767676696</v>
      </c>
      <c r="AM150" s="64">
        <v>1</v>
      </c>
    </row>
    <row r="151" spans="24:39" x14ac:dyDescent="0.25">
      <c r="X151" s="68">
        <v>67.5</v>
      </c>
      <c r="Y151" s="80">
        <v>1</v>
      </c>
      <c r="AB151" s="68">
        <v>67.5</v>
      </c>
      <c r="AC151" s="64">
        <v>0.97299999999999998</v>
      </c>
      <c r="AL151" s="64">
        <v>67.25</v>
      </c>
      <c r="AM151" s="64">
        <v>1</v>
      </c>
    </row>
    <row r="152" spans="24:39" x14ac:dyDescent="0.25">
      <c r="X152" s="68">
        <v>67.5833333333333</v>
      </c>
      <c r="Y152" s="80">
        <v>1</v>
      </c>
      <c r="AB152" s="68">
        <v>67.5833333333333</v>
      </c>
      <c r="AC152" s="64">
        <v>0.97699999999999998</v>
      </c>
      <c r="AL152" s="64">
        <v>67.3333333333333</v>
      </c>
      <c r="AM152" s="64">
        <v>1</v>
      </c>
    </row>
    <row r="153" spans="24:39" x14ac:dyDescent="0.25">
      <c r="X153" s="68">
        <v>67.676767676767696</v>
      </c>
      <c r="Y153" s="80">
        <v>1</v>
      </c>
      <c r="AB153" s="68">
        <v>67.676767676767696</v>
      </c>
      <c r="AC153" s="64">
        <v>0.98199999999999998</v>
      </c>
      <c r="AL153" s="64">
        <v>67.416767676767705</v>
      </c>
      <c r="AM153" s="64">
        <v>1</v>
      </c>
    </row>
    <row r="154" spans="24:39" x14ac:dyDescent="0.25">
      <c r="X154" s="68">
        <v>67.75</v>
      </c>
      <c r="Y154" s="80">
        <v>1</v>
      </c>
      <c r="AB154" s="68">
        <v>67.75</v>
      </c>
      <c r="AC154" s="64">
        <v>0.98599999999999999</v>
      </c>
      <c r="AL154" s="64">
        <v>67.5</v>
      </c>
      <c r="AM154" s="64">
        <v>1</v>
      </c>
    </row>
    <row r="155" spans="24:39" x14ac:dyDescent="0.25">
      <c r="X155" s="68">
        <v>67.83</v>
      </c>
      <c r="Y155" s="80">
        <v>1</v>
      </c>
      <c r="AB155" s="68">
        <v>67.83</v>
      </c>
      <c r="AC155" s="64">
        <v>0.99099999999999999</v>
      </c>
      <c r="AL155" s="64">
        <v>67.5833333333333</v>
      </c>
      <c r="AM155" s="64">
        <v>1</v>
      </c>
    </row>
    <row r="156" spans="24:39" x14ac:dyDescent="0.25">
      <c r="X156" s="68">
        <f>67+(11/12)</f>
        <v>67.916666666666671</v>
      </c>
      <c r="Y156" s="80">
        <v>1</v>
      </c>
      <c r="AB156" s="68">
        <v>67.92</v>
      </c>
      <c r="AC156" s="64">
        <v>0.995</v>
      </c>
      <c r="AL156" s="64">
        <v>67.676767676767696</v>
      </c>
      <c r="AM156" s="64">
        <v>1</v>
      </c>
    </row>
    <row r="157" spans="24:39" x14ac:dyDescent="0.25">
      <c r="X157" s="68">
        <v>68</v>
      </c>
      <c r="Y157" s="80">
        <v>1</v>
      </c>
      <c r="AL157" s="64">
        <v>67.75</v>
      </c>
      <c r="AM157" s="64">
        <v>1</v>
      </c>
    </row>
    <row r="158" spans="24:39" x14ac:dyDescent="0.25">
      <c r="AL158" s="64">
        <v>67.8333333333333</v>
      </c>
      <c r="AM158" s="64">
        <v>1</v>
      </c>
    </row>
    <row r="159" spans="24:39" x14ac:dyDescent="0.25">
      <c r="AL159" s="64">
        <v>67.916767676767705</v>
      </c>
      <c r="AM159" s="64">
        <v>1</v>
      </c>
    </row>
  </sheetData>
  <sortState ref="AC143:AC154">
    <sortCondition ref="AC143"/>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8"/>
  <sheetViews>
    <sheetView workbookViewId="0">
      <selection activeCell="H37" sqref="H37"/>
    </sheetView>
  </sheetViews>
  <sheetFormatPr defaultRowHeight="15" x14ac:dyDescent="0.25"/>
  <cols>
    <col min="6" max="6" width="10.7109375" bestFit="1" customWidth="1"/>
    <col min="8" max="8" width="12.140625" customWidth="1"/>
  </cols>
  <sheetData>
    <row r="1" spans="1:8" x14ac:dyDescent="0.25">
      <c r="A1" t="s">
        <v>49</v>
      </c>
    </row>
    <row r="4" spans="1:8" x14ac:dyDescent="0.25">
      <c r="B4" t="s">
        <v>47</v>
      </c>
      <c r="H4" s="85">
        <v>27242</v>
      </c>
    </row>
    <row r="6" spans="1:8" x14ac:dyDescent="0.25">
      <c r="B6" t="s">
        <v>48</v>
      </c>
      <c r="H6" s="85">
        <v>42583</v>
      </c>
    </row>
    <row r="8" spans="1:8" x14ac:dyDescent="0.25">
      <c r="B8" t="s">
        <v>50</v>
      </c>
      <c r="H8">
        <v>27000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S204"/>
  <sheetViews>
    <sheetView showGridLines="0" topLeftCell="A16" zoomScaleNormal="100" workbookViewId="0">
      <selection activeCell="D16" sqref="D1:D1048576"/>
    </sheetView>
  </sheetViews>
  <sheetFormatPr defaultRowHeight="15" x14ac:dyDescent="0.25"/>
  <cols>
    <col min="1" max="1" width="9.140625" style="31" customWidth="1"/>
    <col min="2" max="5" width="9.140625" style="31"/>
    <col min="6" max="6" width="23" style="111" customWidth="1"/>
    <col min="7" max="7" width="56" style="31" customWidth="1"/>
    <col min="8" max="8" width="9.140625" style="31" customWidth="1"/>
    <col min="9" max="9" width="1.42578125" style="31" customWidth="1"/>
    <col min="10" max="10" width="9.140625" style="31" hidden="1" customWidth="1"/>
    <col min="11" max="11" width="23.85546875" style="31" customWidth="1"/>
    <col min="12" max="17" width="9.140625" style="31"/>
    <col min="18" max="18" width="17.28515625" style="31" customWidth="1"/>
    <col min="19" max="22" width="9.140625" style="31"/>
    <col min="23" max="45" width="9.140625" style="17"/>
    <col min="46" max="16384" width="9.140625" style="31"/>
  </cols>
  <sheetData>
    <row r="1" spans="1:24" ht="26.25" x14ac:dyDescent="0.4">
      <c r="A1" s="112" t="s">
        <v>75</v>
      </c>
      <c r="B1" s="113"/>
      <c r="C1" s="113"/>
      <c r="D1" s="113"/>
      <c r="E1" s="113"/>
      <c r="F1" s="114"/>
      <c r="G1" s="113"/>
      <c r="H1" s="115"/>
      <c r="I1" s="115"/>
      <c r="J1" s="115"/>
      <c r="K1" s="115"/>
      <c r="L1" s="115"/>
      <c r="M1" s="116"/>
      <c r="N1" s="116"/>
      <c r="O1" s="116"/>
      <c r="P1" s="116"/>
      <c r="Q1" s="116"/>
      <c r="R1" s="116"/>
      <c r="S1" s="117"/>
      <c r="T1" s="107"/>
      <c r="U1" s="107"/>
      <c r="V1" s="107"/>
      <c r="W1" s="108"/>
      <c r="X1" s="104"/>
    </row>
    <row r="2" spans="1:24" ht="20.25" customHeight="1" x14ac:dyDescent="0.4">
      <c r="A2" s="118"/>
      <c r="B2" s="119"/>
      <c r="C2" s="119"/>
      <c r="D2" s="119"/>
      <c r="E2" s="119"/>
      <c r="F2" s="119"/>
      <c r="G2" s="119"/>
      <c r="H2" s="119"/>
      <c r="I2" s="119"/>
      <c r="J2" s="119"/>
      <c r="K2" s="119"/>
      <c r="L2" s="119"/>
      <c r="M2" s="13"/>
      <c r="N2" s="13"/>
      <c r="O2" s="13"/>
      <c r="P2" s="13"/>
      <c r="Q2" s="13"/>
      <c r="R2" s="13"/>
      <c r="S2" s="120"/>
      <c r="T2" s="104"/>
      <c r="U2" s="104"/>
      <c r="V2" s="104"/>
      <c r="W2" s="109"/>
      <c r="X2" s="104"/>
    </row>
    <row r="3" spans="1:24" ht="15" customHeight="1" x14ac:dyDescent="0.3">
      <c r="A3" s="121" t="s">
        <v>66</v>
      </c>
      <c r="B3" s="122"/>
      <c r="C3" s="122"/>
      <c r="D3" s="122"/>
      <c r="E3" s="122"/>
      <c r="F3" s="122"/>
      <c r="G3" s="122"/>
      <c r="H3" s="123"/>
      <c r="I3" s="123"/>
      <c r="J3" s="123"/>
      <c r="K3" s="123"/>
      <c r="L3" s="123"/>
      <c r="M3" s="123"/>
      <c r="N3" s="123"/>
      <c r="O3" s="13"/>
      <c r="P3" s="13"/>
      <c r="Q3" s="13"/>
      <c r="R3" s="13"/>
      <c r="S3" s="120"/>
      <c r="T3" s="104"/>
      <c r="U3" s="104"/>
      <c r="V3" s="104"/>
      <c r="W3" s="109"/>
      <c r="X3" s="104"/>
    </row>
    <row r="4" spans="1:24" ht="15.75" customHeight="1" x14ac:dyDescent="0.3">
      <c r="A4" s="121" t="s">
        <v>67</v>
      </c>
      <c r="B4" s="122"/>
      <c r="C4" s="122"/>
      <c r="D4" s="122"/>
      <c r="E4" s="122"/>
      <c r="F4" s="122"/>
      <c r="G4" s="122"/>
      <c r="H4" s="123"/>
      <c r="I4" s="123"/>
      <c r="J4" s="123"/>
      <c r="K4" s="123"/>
      <c r="L4" s="123"/>
      <c r="M4" s="123"/>
      <c r="N4" s="123"/>
      <c r="O4" s="13"/>
      <c r="P4" s="13"/>
      <c r="Q4" s="13"/>
      <c r="R4" s="13"/>
      <c r="S4" s="120"/>
      <c r="T4" s="104"/>
      <c r="U4" s="104"/>
      <c r="V4" s="104"/>
      <c r="W4" s="109"/>
      <c r="X4" s="104"/>
    </row>
    <row r="5" spans="1:24" ht="15.75" customHeight="1" x14ac:dyDescent="0.3">
      <c r="A5" s="121" t="s">
        <v>76</v>
      </c>
      <c r="B5" s="122"/>
      <c r="C5" s="122"/>
      <c r="D5" s="122"/>
      <c r="E5" s="122"/>
      <c r="F5" s="122"/>
      <c r="G5" s="122"/>
      <c r="H5" s="123"/>
      <c r="I5" s="123"/>
      <c r="J5" s="123"/>
      <c r="K5" s="123"/>
      <c r="L5" s="123"/>
      <c r="M5" s="123"/>
      <c r="N5" s="123"/>
      <c r="O5" s="13"/>
      <c r="P5" s="13"/>
      <c r="Q5" s="13"/>
      <c r="R5" s="13"/>
      <c r="S5" s="120"/>
      <c r="T5" s="104"/>
      <c r="U5" s="104"/>
      <c r="V5" s="104"/>
      <c r="W5" s="109"/>
      <c r="X5" s="104"/>
    </row>
    <row r="6" spans="1:24" ht="15" customHeight="1" x14ac:dyDescent="0.25">
      <c r="A6" s="124"/>
      <c r="B6" s="13"/>
      <c r="C6" s="13"/>
      <c r="D6" s="13"/>
      <c r="E6" s="13"/>
      <c r="F6" s="13"/>
      <c r="G6" s="13"/>
      <c r="H6" s="13"/>
      <c r="I6" s="13"/>
      <c r="J6" s="13"/>
      <c r="K6" s="13"/>
      <c r="L6" s="13"/>
      <c r="M6" s="13"/>
      <c r="N6" s="13"/>
      <c r="O6" s="13"/>
      <c r="P6" s="13"/>
      <c r="Q6" s="13"/>
      <c r="R6" s="13"/>
      <c r="S6" s="120"/>
      <c r="T6" s="104"/>
      <c r="U6" s="104"/>
      <c r="V6" s="104"/>
      <c r="W6" s="109"/>
      <c r="X6" s="104"/>
    </row>
    <row r="7" spans="1:24" ht="15" customHeight="1" x14ac:dyDescent="0.3">
      <c r="A7" s="125" t="s">
        <v>63</v>
      </c>
      <c r="B7" s="13"/>
      <c r="C7" s="13"/>
      <c r="D7" s="13"/>
      <c r="E7" s="13"/>
      <c r="F7" s="13"/>
      <c r="G7" s="13"/>
      <c r="H7" s="13"/>
      <c r="I7" s="13"/>
      <c r="J7" s="13"/>
      <c r="K7" s="13"/>
      <c r="L7" s="13"/>
      <c r="M7" s="13"/>
      <c r="N7" s="13"/>
      <c r="O7" s="13"/>
      <c r="P7" s="13"/>
      <c r="Q7" s="13"/>
      <c r="R7" s="13"/>
      <c r="S7" s="120"/>
      <c r="T7" s="104"/>
      <c r="U7" s="104"/>
      <c r="V7" s="104"/>
      <c r="W7" s="104"/>
      <c r="X7" s="104"/>
    </row>
    <row r="8" spans="1:24" ht="15" customHeight="1" x14ac:dyDescent="0.3">
      <c r="A8" s="126" t="s">
        <v>65</v>
      </c>
      <c r="B8" s="123"/>
      <c r="C8" s="123"/>
      <c r="D8" s="123"/>
      <c r="E8" s="123"/>
      <c r="F8" s="123"/>
      <c r="G8" s="123"/>
      <c r="H8" s="123"/>
      <c r="I8" s="123"/>
      <c r="J8" s="123"/>
      <c r="K8" s="123"/>
      <c r="L8" s="13"/>
      <c r="M8" s="13"/>
      <c r="N8" s="13"/>
      <c r="O8" s="13"/>
      <c r="P8" s="13"/>
      <c r="Q8" s="13"/>
      <c r="R8" s="13"/>
      <c r="S8" s="120"/>
      <c r="T8" s="104"/>
      <c r="U8" s="104"/>
      <c r="V8" s="104"/>
      <c r="W8" s="104"/>
      <c r="X8" s="104"/>
    </row>
    <row r="9" spans="1:24" ht="18.75" x14ac:dyDescent="0.3">
      <c r="A9" s="126" t="s">
        <v>68</v>
      </c>
      <c r="B9" s="123"/>
      <c r="C9" s="123"/>
      <c r="D9" s="123"/>
      <c r="E9" s="123"/>
      <c r="F9" s="123"/>
      <c r="G9" s="123"/>
      <c r="H9" s="123"/>
      <c r="I9" s="123"/>
      <c r="J9" s="123"/>
      <c r="K9" s="123"/>
      <c r="L9" s="13"/>
      <c r="M9" s="13"/>
      <c r="N9" s="13"/>
      <c r="O9" s="13"/>
      <c r="P9" s="13"/>
      <c r="Q9" s="13"/>
      <c r="R9" s="13"/>
      <c r="S9" s="120"/>
      <c r="T9" s="104"/>
      <c r="U9" s="104"/>
      <c r="V9" s="104"/>
      <c r="W9" s="104"/>
      <c r="X9" s="104"/>
    </row>
    <row r="10" spans="1:24" ht="18.75" x14ac:dyDescent="0.3">
      <c r="A10" s="126" t="s">
        <v>64</v>
      </c>
      <c r="B10" s="123"/>
      <c r="C10" s="123"/>
      <c r="D10" s="123"/>
      <c r="E10" s="123"/>
      <c r="F10" s="123"/>
      <c r="G10" s="123"/>
      <c r="H10" s="123"/>
      <c r="I10" s="123"/>
      <c r="J10" s="123"/>
      <c r="K10" s="123"/>
      <c r="L10" s="13"/>
      <c r="M10" s="13"/>
      <c r="N10" s="13"/>
      <c r="O10" s="13"/>
      <c r="P10" s="13"/>
      <c r="Q10" s="13"/>
      <c r="R10" s="13"/>
      <c r="S10" s="120"/>
      <c r="T10" s="104"/>
      <c r="U10" s="104"/>
      <c r="V10" s="104"/>
      <c r="W10" s="104"/>
      <c r="X10" s="104"/>
    </row>
    <row r="11" spans="1:24" ht="18.75" x14ac:dyDescent="0.3">
      <c r="A11" s="126" t="s">
        <v>70</v>
      </c>
      <c r="B11" s="123"/>
      <c r="C11" s="123"/>
      <c r="D11" s="123"/>
      <c r="E11" s="123"/>
      <c r="F11" s="123"/>
      <c r="G11" s="123"/>
      <c r="H11" s="123"/>
      <c r="I11" s="123"/>
      <c r="J11" s="123"/>
      <c r="K11" s="123"/>
      <c r="L11" s="13"/>
      <c r="M11" s="13"/>
      <c r="N11" s="13"/>
      <c r="O11" s="13"/>
      <c r="P11" s="13"/>
      <c r="Q11" s="13"/>
      <c r="R11" s="13"/>
      <c r="S11" s="120"/>
      <c r="T11" s="104"/>
      <c r="U11" s="104"/>
      <c r="V11" s="104"/>
      <c r="W11" s="104"/>
      <c r="X11" s="104"/>
    </row>
    <row r="12" spans="1:24" ht="18.75" x14ac:dyDescent="0.3">
      <c r="A12" s="155" t="s">
        <v>79</v>
      </c>
      <c r="S12" s="120"/>
      <c r="T12" s="104"/>
      <c r="U12" s="104"/>
      <c r="V12" s="104"/>
      <c r="W12" s="104"/>
      <c r="X12" s="104"/>
    </row>
    <row r="13" spans="1:24" ht="18.75" x14ac:dyDescent="0.3">
      <c r="A13" s="121" t="s">
        <v>77</v>
      </c>
      <c r="B13" s="123"/>
      <c r="C13" s="123"/>
      <c r="D13" s="123"/>
      <c r="E13" s="123"/>
      <c r="F13" s="123"/>
      <c r="G13" s="123"/>
      <c r="H13" s="123"/>
      <c r="I13" s="123"/>
      <c r="J13" s="123"/>
      <c r="K13" s="123"/>
      <c r="L13" s="13"/>
      <c r="M13" s="13"/>
      <c r="N13" s="13"/>
      <c r="O13" s="13"/>
      <c r="P13" s="13"/>
      <c r="Q13" s="13"/>
      <c r="R13" s="13"/>
      <c r="S13" s="120"/>
      <c r="T13" s="104"/>
      <c r="U13" s="104"/>
      <c r="V13" s="104"/>
      <c r="W13" s="104"/>
      <c r="X13" s="104"/>
    </row>
    <row r="14" spans="1:24" ht="18.75" x14ac:dyDescent="0.3">
      <c r="A14" s="140" t="s">
        <v>73</v>
      </c>
      <c r="C14" s="123"/>
      <c r="D14" s="123"/>
      <c r="E14" s="123"/>
      <c r="F14" s="123"/>
      <c r="G14" s="123"/>
      <c r="H14" s="123"/>
      <c r="I14" s="123"/>
      <c r="J14" s="123"/>
      <c r="K14" s="123"/>
      <c r="L14" s="13"/>
      <c r="M14" s="13"/>
      <c r="N14" s="13"/>
      <c r="O14" s="13"/>
      <c r="P14" s="13"/>
      <c r="Q14" s="13"/>
      <c r="R14" s="13"/>
      <c r="S14" s="120"/>
      <c r="T14" s="104"/>
      <c r="U14" s="104"/>
      <c r="V14" s="104"/>
      <c r="W14" s="104"/>
      <c r="X14" s="104"/>
    </row>
    <row r="15" spans="1:24" ht="18.75" x14ac:dyDescent="0.3">
      <c r="A15" s="127" t="s">
        <v>74</v>
      </c>
      <c r="B15" s="60"/>
      <c r="C15" s="60"/>
      <c r="D15" s="60"/>
      <c r="E15" s="13"/>
      <c r="F15" s="13"/>
      <c r="G15" s="13"/>
      <c r="H15" s="13"/>
      <c r="I15" s="13"/>
      <c r="J15" s="13"/>
      <c r="K15" s="13"/>
      <c r="L15" s="13"/>
      <c r="M15" s="13"/>
      <c r="N15" s="13"/>
      <c r="O15" s="13"/>
      <c r="P15" s="13"/>
      <c r="Q15" s="13"/>
      <c r="R15" s="13"/>
      <c r="S15" s="120"/>
      <c r="T15" s="104"/>
      <c r="U15" s="104"/>
      <c r="V15" s="104"/>
      <c r="W15" s="104"/>
      <c r="X15" s="104"/>
    </row>
    <row r="16" spans="1:24" ht="19.5" thickBot="1" x14ac:dyDescent="0.35">
      <c r="A16" s="128" t="s">
        <v>78</v>
      </c>
      <c r="B16" s="13"/>
      <c r="C16" s="13"/>
      <c r="D16" s="13"/>
      <c r="E16" s="13"/>
      <c r="F16" s="13"/>
      <c r="G16" s="13"/>
      <c r="H16" s="13"/>
      <c r="I16" s="13"/>
      <c r="J16" s="13"/>
      <c r="K16" s="13"/>
      <c r="L16" s="13"/>
      <c r="M16" s="13"/>
      <c r="N16" s="13"/>
      <c r="O16" s="13"/>
      <c r="P16" s="13"/>
      <c r="Q16" s="13"/>
      <c r="R16" s="13"/>
      <c r="S16" s="120"/>
      <c r="T16" s="104"/>
      <c r="U16" s="104"/>
      <c r="V16" s="104"/>
      <c r="W16" s="104"/>
      <c r="X16" s="104"/>
    </row>
    <row r="17" spans="1:24" ht="26.25" x14ac:dyDescent="0.4">
      <c r="A17" s="95"/>
      <c r="B17" s="141" t="s">
        <v>71</v>
      </c>
      <c r="C17" s="141"/>
      <c r="D17" s="141"/>
      <c r="E17" s="141"/>
      <c r="F17" s="141"/>
      <c r="G17" s="96"/>
      <c r="H17" s="96"/>
      <c r="I17" s="96"/>
      <c r="J17" s="96"/>
      <c r="K17" s="96"/>
      <c r="L17" s="96"/>
      <c r="M17" s="97"/>
      <c r="N17" s="97"/>
      <c r="O17" s="97"/>
      <c r="P17" s="97"/>
      <c r="Q17" s="97"/>
      <c r="R17" s="97"/>
      <c r="S17" s="98"/>
      <c r="T17" s="104"/>
      <c r="U17" s="104"/>
      <c r="V17" s="104"/>
      <c r="W17" s="104"/>
      <c r="X17" s="64"/>
    </row>
    <row r="18" spans="1:24" ht="27" thickBot="1" x14ac:dyDescent="0.45">
      <c r="A18" s="99"/>
      <c r="B18" s="103"/>
      <c r="C18" s="103"/>
      <c r="D18" s="103"/>
      <c r="E18" s="103"/>
      <c r="F18" s="103"/>
      <c r="G18" s="103"/>
      <c r="H18" s="103"/>
      <c r="I18" s="103"/>
      <c r="J18" s="103"/>
      <c r="K18" s="103"/>
      <c r="L18" s="103"/>
      <c r="M18" s="102"/>
      <c r="N18" s="102"/>
      <c r="O18" s="102"/>
      <c r="P18" s="102"/>
      <c r="Q18" s="102"/>
      <c r="R18" s="102"/>
      <c r="S18" s="106"/>
      <c r="T18" s="104"/>
      <c r="U18" s="104"/>
      <c r="V18" s="104"/>
      <c r="W18" s="104"/>
      <c r="X18" s="64"/>
    </row>
    <row r="19" spans="1:24" ht="27.75" thickTop="1" thickBot="1" x14ac:dyDescent="0.45">
      <c r="A19" s="99"/>
      <c r="B19" s="100" t="s">
        <v>58</v>
      </c>
      <c r="C19" s="100"/>
      <c r="D19" s="100"/>
      <c r="E19" s="100"/>
      <c r="F19" s="100"/>
      <c r="G19" s="101"/>
      <c r="H19" s="102"/>
      <c r="I19" s="102"/>
      <c r="J19" s="102"/>
      <c r="K19" s="148">
        <f>'1995-2015 Calculator (67)'!M25+1</f>
        <v>61</v>
      </c>
      <c r="L19" s="103"/>
      <c r="M19" s="103"/>
      <c r="N19" s="103"/>
      <c r="O19" s="102"/>
      <c r="P19" s="102"/>
      <c r="Q19" s="102"/>
      <c r="R19" s="102"/>
      <c r="S19" s="106"/>
      <c r="T19" s="104"/>
      <c r="U19" s="104"/>
      <c r="V19" s="104"/>
      <c r="W19" s="104"/>
      <c r="X19" s="64"/>
    </row>
    <row r="20" spans="1:24" ht="27.75" thickTop="1" thickBot="1" x14ac:dyDescent="0.45">
      <c r="A20" s="99"/>
      <c r="B20" s="100"/>
      <c r="C20" s="100"/>
      <c r="D20" s="100"/>
      <c r="E20" s="100"/>
      <c r="F20" s="100"/>
      <c r="G20" s="101"/>
      <c r="H20" s="102"/>
      <c r="I20" s="102"/>
      <c r="J20" s="102"/>
      <c r="K20" s="103"/>
      <c r="L20" s="103"/>
      <c r="M20" s="103"/>
      <c r="N20" s="103"/>
      <c r="O20" s="102"/>
      <c r="P20" s="110"/>
      <c r="Q20" s="102"/>
      <c r="R20" s="102"/>
      <c r="S20" s="106"/>
      <c r="T20" s="104"/>
      <c r="U20" s="104"/>
      <c r="V20" s="104"/>
      <c r="W20" s="104"/>
      <c r="X20" s="64"/>
    </row>
    <row r="21" spans="1:24" ht="27.75" thickTop="1" thickBot="1" x14ac:dyDescent="0.45">
      <c r="A21" s="99"/>
      <c r="B21" s="100" t="s">
        <v>56</v>
      </c>
      <c r="C21" s="100"/>
      <c r="D21" s="100"/>
      <c r="E21" s="100"/>
      <c r="F21" s="100"/>
      <c r="G21" s="101"/>
      <c r="H21" s="102"/>
      <c r="I21" s="102"/>
      <c r="J21" s="102"/>
      <c r="K21" s="149">
        <f>'1995-2015 Calculator (67)'!M27</f>
        <v>40000</v>
      </c>
      <c r="L21" s="100" t="s">
        <v>57</v>
      </c>
      <c r="M21" s="103"/>
      <c r="N21" s="103"/>
      <c r="O21" s="102"/>
      <c r="P21" s="102"/>
      <c r="Q21" s="102"/>
      <c r="R21" s="102"/>
      <c r="S21" s="106"/>
      <c r="T21" s="104"/>
      <c r="U21" s="104"/>
      <c r="V21" s="104"/>
      <c r="W21" s="104"/>
      <c r="X21" s="64"/>
    </row>
    <row r="22" spans="1:24" ht="27.75" thickTop="1" thickBot="1" x14ac:dyDescent="0.45">
      <c r="A22" s="99"/>
      <c r="B22" s="100"/>
      <c r="C22" s="100"/>
      <c r="D22" s="100"/>
      <c r="E22" s="100"/>
      <c r="F22" s="100"/>
      <c r="G22" s="101"/>
      <c r="H22" s="102"/>
      <c r="I22" s="102"/>
      <c r="J22" s="102"/>
      <c r="K22" s="103"/>
      <c r="L22" s="103"/>
      <c r="M22" s="103"/>
      <c r="N22" s="103"/>
      <c r="O22" s="102"/>
      <c r="P22" s="102"/>
      <c r="Q22" s="102"/>
      <c r="R22" s="102"/>
      <c r="S22" s="106"/>
      <c r="T22" s="104"/>
      <c r="U22" s="104"/>
      <c r="V22" s="104"/>
      <c r="W22" s="104"/>
      <c r="X22" s="64"/>
    </row>
    <row r="23" spans="1:24" ht="27.75" thickTop="1" thickBot="1" x14ac:dyDescent="0.45">
      <c r="A23" s="99"/>
      <c r="B23" s="100" t="s">
        <v>59</v>
      </c>
      <c r="C23" s="100"/>
      <c r="D23" s="100"/>
      <c r="E23" s="100"/>
      <c r="F23" s="100"/>
      <c r="G23" s="101"/>
      <c r="H23" s="102"/>
      <c r="I23" s="102"/>
      <c r="J23" s="102"/>
      <c r="K23" s="150">
        <f>SUM('2015 Pension Calculation'!G20:G72)</f>
        <v>5587.9639856071844</v>
      </c>
      <c r="L23" s="100" t="s">
        <v>57</v>
      </c>
      <c r="M23" s="103"/>
      <c r="N23" s="103"/>
      <c r="O23" s="102"/>
      <c r="P23" s="100" t="s">
        <v>69</v>
      </c>
      <c r="Q23" s="103"/>
      <c r="R23" s="151">
        <f>(K23*20)/1030000</f>
        <v>0.10850415506033367</v>
      </c>
      <c r="S23" s="106"/>
      <c r="T23" s="104"/>
      <c r="U23" s="104"/>
      <c r="V23" s="104"/>
      <c r="W23" s="104"/>
      <c r="X23" s="64"/>
    </row>
    <row r="24" spans="1:24" ht="27" thickTop="1" x14ac:dyDescent="0.4">
      <c r="A24" s="99"/>
      <c r="B24" s="103"/>
      <c r="C24" s="103"/>
      <c r="D24" s="103"/>
      <c r="E24" s="103"/>
      <c r="F24" s="103"/>
      <c r="G24" s="102"/>
      <c r="H24" s="102"/>
      <c r="I24" s="102"/>
      <c r="J24" s="102"/>
      <c r="K24" s="103"/>
      <c r="L24" s="103"/>
      <c r="M24" s="103"/>
      <c r="N24" s="103"/>
      <c r="O24" s="102"/>
      <c r="P24" s="102"/>
      <c r="Q24" s="102"/>
      <c r="R24" s="102"/>
      <c r="S24" s="106"/>
      <c r="T24" s="104"/>
      <c r="U24" s="104"/>
      <c r="V24" s="104"/>
      <c r="W24" s="104"/>
      <c r="X24" s="64"/>
    </row>
    <row r="25" spans="1:24" ht="26.25" x14ac:dyDescent="0.4">
      <c r="A25" s="129"/>
      <c r="B25" s="142" t="s">
        <v>72</v>
      </c>
      <c r="C25" s="142"/>
      <c r="D25" s="142"/>
      <c r="E25" s="142"/>
      <c r="F25" s="142"/>
      <c r="G25" s="130"/>
      <c r="H25" s="130"/>
      <c r="I25" s="131"/>
      <c r="J25" s="131"/>
      <c r="K25" s="131"/>
      <c r="L25" s="130"/>
      <c r="M25" s="130"/>
      <c r="N25" s="130"/>
      <c r="O25" s="132"/>
      <c r="P25" s="132"/>
      <c r="Q25" s="132"/>
      <c r="R25" s="132"/>
      <c r="S25" s="133"/>
      <c r="T25" s="104"/>
      <c r="U25" s="104"/>
      <c r="V25" s="104"/>
      <c r="W25" s="104"/>
      <c r="X25" s="105"/>
    </row>
    <row r="26" spans="1:24" ht="26.25" x14ac:dyDescent="0.4">
      <c r="A26" s="134"/>
      <c r="B26" s="135"/>
      <c r="C26" s="135"/>
      <c r="D26" s="135"/>
      <c r="E26" s="135"/>
      <c r="F26" s="135"/>
      <c r="G26" s="135"/>
      <c r="H26" s="135"/>
      <c r="I26" s="136"/>
      <c r="J26" s="136"/>
      <c r="K26" s="136"/>
      <c r="L26" s="135"/>
      <c r="M26" s="135"/>
      <c r="N26" s="135"/>
      <c r="O26" s="137"/>
      <c r="P26" s="137"/>
      <c r="Q26" s="137"/>
      <c r="R26" s="137"/>
      <c r="S26" s="138"/>
      <c r="T26" s="104"/>
      <c r="U26" s="104"/>
      <c r="V26" s="104"/>
      <c r="W26" s="104"/>
      <c r="X26" s="105"/>
    </row>
    <row r="27" spans="1:24" ht="26.25" x14ac:dyDescent="0.4">
      <c r="A27" s="134"/>
      <c r="B27" s="135" t="s">
        <v>51</v>
      </c>
      <c r="C27" s="135"/>
      <c r="D27" s="135"/>
      <c r="E27" s="135"/>
      <c r="F27" s="135"/>
      <c r="G27" s="136"/>
      <c r="H27" s="136"/>
      <c r="I27" s="136"/>
      <c r="J27" s="136"/>
      <c r="K27" s="135"/>
      <c r="L27" s="135"/>
      <c r="M27" s="135"/>
      <c r="N27" s="135"/>
      <c r="O27" s="137"/>
      <c r="P27" s="137"/>
      <c r="Q27" s="137"/>
      <c r="R27" s="137"/>
      <c r="S27" s="138"/>
      <c r="T27" s="104"/>
      <c r="U27" s="104"/>
      <c r="V27" s="104"/>
      <c r="W27" s="104"/>
      <c r="X27" s="105"/>
    </row>
    <row r="28" spans="1:24" ht="27" thickBot="1" x14ac:dyDescent="0.45">
      <c r="A28" s="134"/>
      <c r="B28" s="135"/>
      <c r="C28" s="135"/>
      <c r="D28" s="135"/>
      <c r="E28" s="135"/>
      <c r="F28" s="135"/>
      <c r="G28" s="136"/>
      <c r="H28" s="136"/>
      <c r="I28" s="136"/>
      <c r="J28" s="136"/>
      <c r="K28" s="135" t="s">
        <v>32</v>
      </c>
      <c r="L28" s="135"/>
      <c r="M28" s="135" t="s">
        <v>33</v>
      </c>
      <c r="N28" s="135"/>
      <c r="O28" s="137"/>
      <c r="P28" s="137"/>
      <c r="Q28" s="137"/>
      <c r="R28" s="137"/>
      <c r="S28" s="138"/>
      <c r="T28" s="104"/>
      <c r="U28" s="104"/>
      <c r="V28" s="104"/>
      <c r="W28" s="104"/>
      <c r="X28" s="105"/>
    </row>
    <row r="29" spans="1:24" ht="27.75" thickTop="1" thickBot="1" x14ac:dyDescent="0.45">
      <c r="A29" s="134"/>
      <c r="B29" s="135" t="s">
        <v>55</v>
      </c>
      <c r="C29" s="135"/>
      <c r="D29" s="135"/>
      <c r="E29" s="135"/>
      <c r="F29" s="135"/>
      <c r="G29" s="137"/>
      <c r="H29" s="137"/>
      <c r="I29" s="137"/>
      <c r="J29" s="137"/>
      <c r="K29" s="148">
        <f>'1995-2015 Calculator (67)'!M30</f>
        <v>67</v>
      </c>
      <c r="L29" s="139"/>
      <c r="M29" s="148">
        <f>'1995-2015 Calculator (67)'!N30</f>
        <v>0</v>
      </c>
      <c r="N29" s="139"/>
      <c r="O29" s="137"/>
      <c r="P29" s="137"/>
      <c r="Q29" s="137"/>
      <c r="R29" s="137"/>
      <c r="S29" s="138"/>
      <c r="T29" s="104"/>
      <c r="U29" s="104"/>
      <c r="V29" s="104"/>
      <c r="W29" s="104"/>
      <c r="X29" s="105"/>
    </row>
    <row r="30" spans="1:24" ht="27" thickTop="1" x14ac:dyDescent="0.4">
      <c r="A30" s="134"/>
      <c r="B30" s="139"/>
      <c r="C30" s="139"/>
      <c r="D30" s="139"/>
      <c r="E30" s="139"/>
      <c r="F30" s="139"/>
      <c r="G30" s="137"/>
      <c r="H30" s="137"/>
      <c r="I30" s="137"/>
      <c r="J30" s="137"/>
      <c r="K30" s="139"/>
      <c r="L30" s="139"/>
      <c r="M30" s="139"/>
      <c r="N30" s="139"/>
      <c r="O30" s="137"/>
      <c r="P30" s="137"/>
      <c r="Q30" s="137"/>
      <c r="R30" s="137"/>
      <c r="S30" s="138"/>
      <c r="T30" s="104"/>
      <c r="U30" s="104"/>
      <c r="V30" s="104"/>
      <c r="W30" s="104"/>
      <c r="X30" s="105"/>
    </row>
    <row r="31" spans="1:24" ht="27" thickBot="1" x14ac:dyDescent="0.45">
      <c r="A31" s="134"/>
      <c r="B31" s="137"/>
      <c r="C31" s="137"/>
      <c r="D31" s="137"/>
      <c r="E31" s="137"/>
      <c r="F31" s="137"/>
      <c r="G31" s="137"/>
      <c r="H31" s="137"/>
      <c r="I31" s="137"/>
      <c r="J31" s="137"/>
      <c r="K31" s="137"/>
      <c r="L31" s="137"/>
      <c r="M31" s="139"/>
      <c r="N31" s="139"/>
      <c r="O31" s="137"/>
      <c r="P31" s="137"/>
      <c r="Q31" s="137"/>
      <c r="R31" s="137"/>
      <c r="S31" s="138"/>
      <c r="T31" s="104"/>
      <c r="U31" s="104"/>
      <c r="V31" s="104"/>
      <c r="W31" s="104"/>
    </row>
    <row r="32" spans="1:24" ht="27.75" thickTop="1" thickBot="1" x14ac:dyDescent="0.45">
      <c r="A32" s="134"/>
      <c r="B32" s="135" t="s">
        <v>52</v>
      </c>
      <c r="C32" s="136"/>
      <c r="D32" s="136"/>
      <c r="E32" s="136"/>
      <c r="F32" s="136"/>
      <c r="G32" s="136"/>
      <c r="H32" s="137"/>
      <c r="I32" s="137"/>
      <c r="J32" s="137"/>
      <c r="K32" s="152">
        <f ca="1">'2015 VER Calculator '!J19</f>
        <v>5587.9639856071844</v>
      </c>
      <c r="L32" s="135" t="s">
        <v>57</v>
      </c>
      <c r="M32" s="139"/>
      <c r="N32" s="139"/>
      <c r="O32" s="137"/>
      <c r="P32" s="137"/>
      <c r="Q32" s="137"/>
      <c r="R32" s="137"/>
      <c r="S32" s="138"/>
      <c r="T32" s="104"/>
      <c r="U32" s="104"/>
      <c r="V32" s="104"/>
      <c r="W32" s="104"/>
    </row>
    <row r="33" spans="1:23" ht="27.75" thickTop="1" thickBot="1" x14ac:dyDescent="0.45">
      <c r="A33" s="134"/>
      <c r="B33" s="136"/>
      <c r="C33" s="136"/>
      <c r="D33" s="136"/>
      <c r="E33" s="136"/>
      <c r="F33" s="136"/>
      <c r="G33" s="136"/>
      <c r="H33" s="137"/>
      <c r="I33" s="137"/>
      <c r="J33" s="137"/>
      <c r="K33" s="137"/>
      <c r="L33" s="137"/>
      <c r="M33" s="139"/>
      <c r="N33" s="139"/>
      <c r="O33" s="137"/>
      <c r="P33" s="137"/>
      <c r="Q33" s="137"/>
      <c r="R33" s="137"/>
      <c r="S33" s="138"/>
      <c r="T33" s="104"/>
      <c r="U33" s="104"/>
      <c r="V33" s="104"/>
      <c r="W33" s="104"/>
    </row>
    <row r="34" spans="1:23" ht="27.75" thickTop="1" thickBot="1" x14ac:dyDescent="0.45">
      <c r="A34" s="134"/>
      <c r="B34" s="135" t="s">
        <v>54</v>
      </c>
      <c r="C34" s="135"/>
      <c r="D34" s="135"/>
      <c r="E34" s="135"/>
      <c r="F34" s="135"/>
      <c r="G34" s="136"/>
      <c r="H34" s="137"/>
      <c r="I34" s="137"/>
      <c r="J34" s="137"/>
      <c r="K34" s="153">
        <f>'2015 VER Calculator '!J22</f>
        <v>0</v>
      </c>
      <c r="L34" s="137"/>
      <c r="M34" s="139"/>
      <c r="N34" s="139"/>
      <c r="O34" s="137"/>
      <c r="P34" s="137"/>
      <c r="Q34" s="137"/>
      <c r="R34" s="137"/>
      <c r="S34" s="138"/>
      <c r="T34" s="104"/>
      <c r="U34" s="104"/>
      <c r="V34" s="104"/>
      <c r="W34" s="104"/>
    </row>
    <row r="35" spans="1:23" ht="27.75" thickTop="1" thickBot="1" x14ac:dyDescent="0.45">
      <c r="A35" s="134"/>
      <c r="B35" s="135"/>
      <c r="C35" s="135"/>
      <c r="D35" s="135"/>
      <c r="E35" s="135"/>
      <c r="F35" s="135"/>
      <c r="G35" s="136"/>
      <c r="H35" s="137"/>
      <c r="I35" s="137"/>
      <c r="J35" s="137"/>
      <c r="K35" s="139"/>
      <c r="L35" s="139"/>
      <c r="M35" s="139"/>
      <c r="N35" s="139"/>
      <c r="O35" s="137"/>
      <c r="P35" s="137"/>
      <c r="Q35" s="137"/>
      <c r="R35" s="137"/>
      <c r="S35" s="138"/>
      <c r="T35" s="104"/>
      <c r="U35" s="104"/>
      <c r="V35" s="104"/>
      <c r="W35" s="104"/>
    </row>
    <row r="36" spans="1:23" ht="27.75" thickTop="1" thickBot="1" x14ac:dyDescent="0.45">
      <c r="A36" s="134"/>
      <c r="B36" s="135" t="s">
        <v>53</v>
      </c>
      <c r="C36" s="135"/>
      <c r="D36" s="135"/>
      <c r="E36" s="135"/>
      <c r="F36" s="135"/>
      <c r="G36" s="136"/>
      <c r="H36" s="137"/>
      <c r="I36" s="137"/>
      <c r="J36" s="137"/>
      <c r="K36" s="154">
        <f ca="1">'2015 VER Calculator '!J24</f>
        <v>5587.9639856071844</v>
      </c>
      <c r="L36" s="135" t="s">
        <v>57</v>
      </c>
      <c r="M36" s="139"/>
      <c r="N36" s="139"/>
      <c r="O36" s="139"/>
      <c r="P36" s="135" t="s">
        <v>69</v>
      </c>
      <c r="Q36" s="139"/>
      <c r="R36" s="151">
        <f ca="1">(K36*20)/1030000</f>
        <v>0.10850415506033367</v>
      </c>
      <c r="S36" s="138"/>
      <c r="T36" s="104"/>
      <c r="U36" s="104"/>
      <c r="V36" s="104"/>
      <c r="W36" s="104"/>
    </row>
    <row r="37" spans="1:23" ht="27" thickTop="1" x14ac:dyDescent="0.4">
      <c r="A37" s="143"/>
      <c r="B37" s="144"/>
      <c r="C37" s="144"/>
      <c r="D37" s="144"/>
      <c r="E37" s="144"/>
      <c r="F37" s="144"/>
      <c r="G37" s="144"/>
      <c r="H37" s="145"/>
      <c r="I37" s="145"/>
      <c r="J37" s="145"/>
      <c r="K37" s="145"/>
      <c r="L37" s="145"/>
      <c r="M37" s="146"/>
      <c r="N37" s="146"/>
      <c r="O37" s="146"/>
      <c r="P37" s="146"/>
      <c r="Q37" s="146"/>
      <c r="R37" s="146"/>
      <c r="S37" s="147"/>
      <c r="T37" s="104"/>
      <c r="U37" s="104"/>
      <c r="V37" s="104"/>
      <c r="W37" s="104"/>
    </row>
    <row r="38" spans="1:23" x14ac:dyDescent="0.25">
      <c r="A38" s="17"/>
      <c r="B38" s="17"/>
      <c r="C38" s="17"/>
      <c r="D38" s="17"/>
      <c r="E38" s="17"/>
      <c r="F38" s="13"/>
      <c r="G38" s="17"/>
      <c r="H38" s="17"/>
      <c r="I38" s="17"/>
      <c r="J38" s="17"/>
      <c r="K38" s="17"/>
      <c r="L38" s="17"/>
      <c r="M38" s="17"/>
      <c r="N38" s="17"/>
      <c r="O38" s="17"/>
      <c r="P38" s="17"/>
      <c r="Q38" s="17"/>
      <c r="R38" s="17"/>
      <c r="S38" s="17"/>
      <c r="T38" s="17"/>
      <c r="U38" s="17"/>
      <c r="V38" s="17"/>
    </row>
    <row r="39" spans="1:23" x14ac:dyDescent="0.25">
      <c r="A39" s="17"/>
      <c r="B39" s="17"/>
      <c r="C39" s="17"/>
      <c r="D39" s="17"/>
      <c r="E39" s="17"/>
      <c r="F39" s="13"/>
      <c r="G39" s="17"/>
      <c r="H39" s="17"/>
      <c r="I39" s="17"/>
      <c r="J39" s="17"/>
      <c r="K39" s="17"/>
      <c r="L39" s="17"/>
      <c r="M39" s="17"/>
      <c r="N39" s="17"/>
      <c r="O39" s="17"/>
      <c r="P39" s="17"/>
      <c r="Q39" s="17"/>
      <c r="R39" s="17"/>
      <c r="S39" s="17"/>
      <c r="T39" s="17"/>
      <c r="U39" s="17"/>
      <c r="V39" s="17"/>
    </row>
    <row r="40" spans="1:23" x14ac:dyDescent="0.25">
      <c r="A40" s="17"/>
      <c r="B40" s="17"/>
      <c r="C40" s="17"/>
      <c r="D40" s="17"/>
      <c r="E40" s="17"/>
      <c r="F40" s="13"/>
      <c r="G40" s="17"/>
      <c r="H40" s="17"/>
      <c r="I40" s="17"/>
      <c r="J40" s="17"/>
      <c r="K40" s="17"/>
      <c r="L40" s="17"/>
      <c r="M40" s="17"/>
      <c r="N40" s="17"/>
      <c r="O40" s="17"/>
      <c r="P40" s="17"/>
      <c r="Q40" s="17"/>
      <c r="R40" s="17"/>
      <c r="S40" s="17"/>
      <c r="T40" s="17"/>
      <c r="U40" s="17"/>
      <c r="V40" s="17"/>
    </row>
    <row r="41" spans="1:23" x14ac:dyDescent="0.25">
      <c r="A41" s="17"/>
      <c r="B41" s="17"/>
      <c r="C41" s="17"/>
      <c r="D41" s="17"/>
      <c r="E41" s="17"/>
      <c r="F41" s="13"/>
      <c r="G41" s="17"/>
      <c r="H41" s="17"/>
      <c r="I41" s="17"/>
      <c r="J41" s="17"/>
      <c r="K41" s="17"/>
      <c r="L41" s="17"/>
      <c r="M41" s="17"/>
      <c r="N41" s="17"/>
      <c r="O41" s="17"/>
      <c r="P41" s="17"/>
      <c r="Q41" s="17"/>
      <c r="R41" s="17"/>
      <c r="S41" s="17"/>
      <c r="T41" s="17"/>
      <c r="U41" s="17"/>
      <c r="V41" s="17"/>
    </row>
    <row r="42" spans="1:23" x14ac:dyDescent="0.25">
      <c r="A42" s="17"/>
      <c r="B42" s="17"/>
      <c r="C42" s="17"/>
      <c r="D42" s="17"/>
      <c r="E42" s="17"/>
      <c r="F42" s="13"/>
      <c r="G42" s="17"/>
      <c r="H42" s="17"/>
      <c r="I42" s="17"/>
      <c r="J42" s="17"/>
      <c r="K42" s="17"/>
      <c r="L42" s="17"/>
      <c r="M42" s="17"/>
      <c r="N42" s="17"/>
      <c r="O42" s="17"/>
      <c r="P42" s="17"/>
      <c r="Q42" s="17"/>
      <c r="R42" s="17"/>
      <c r="S42" s="17"/>
      <c r="T42" s="17"/>
      <c r="U42" s="17"/>
      <c r="V42" s="17"/>
    </row>
    <row r="43" spans="1:23" x14ac:dyDescent="0.25">
      <c r="A43" s="17"/>
      <c r="B43" s="17"/>
      <c r="C43" s="17"/>
      <c r="D43" s="17"/>
      <c r="E43" s="17"/>
      <c r="F43" s="13"/>
      <c r="G43" s="17"/>
      <c r="H43" s="17"/>
      <c r="I43" s="17"/>
      <c r="J43" s="17"/>
      <c r="K43" s="17"/>
      <c r="L43" s="17"/>
      <c r="M43" s="17"/>
      <c r="N43" s="17"/>
      <c r="O43" s="17"/>
      <c r="P43" s="17"/>
      <c r="Q43" s="17"/>
      <c r="R43" s="17"/>
      <c r="S43" s="17"/>
      <c r="T43" s="17"/>
      <c r="U43" s="17"/>
      <c r="V43" s="17"/>
    </row>
    <row r="44" spans="1:23" x14ac:dyDescent="0.25">
      <c r="A44" s="17"/>
      <c r="B44" s="17"/>
      <c r="C44" s="17"/>
      <c r="D44" s="17"/>
      <c r="E44" s="17"/>
      <c r="F44" s="13"/>
      <c r="G44" s="17"/>
      <c r="H44" s="17"/>
      <c r="I44" s="17"/>
      <c r="J44" s="17"/>
      <c r="K44" s="17"/>
      <c r="L44" s="17"/>
      <c r="M44" s="17"/>
      <c r="N44" s="17"/>
      <c r="O44" s="17"/>
      <c r="P44" s="17"/>
      <c r="Q44" s="17"/>
      <c r="R44" s="17"/>
      <c r="S44" s="17"/>
      <c r="T44" s="17"/>
      <c r="U44" s="17"/>
      <c r="V44" s="17"/>
    </row>
    <row r="45" spans="1:23" x14ac:dyDescent="0.25">
      <c r="A45" s="17"/>
      <c r="B45" s="17"/>
      <c r="C45" s="17"/>
      <c r="D45" s="17"/>
      <c r="E45" s="17"/>
      <c r="F45" s="13"/>
      <c r="G45" s="17"/>
      <c r="H45" s="17"/>
      <c r="I45" s="17"/>
      <c r="J45" s="17"/>
      <c r="K45" s="17"/>
      <c r="L45" s="17"/>
      <c r="M45" s="17"/>
      <c r="N45" s="17"/>
      <c r="O45" s="17"/>
      <c r="P45" s="17"/>
      <c r="Q45" s="17"/>
      <c r="R45" s="17"/>
      <c r="S45" s="17"/>
      <c r="T45" s="17"/>
      <c r="U45" s="17"/>
      <c r="V45" s="17"/>
    </row>
    <row r="46" spans="1:23" x14ac:dyDescent="0.25">
      <c r="A46" s="17"/>
      <c r="B46" s="17"/>
      <c r="C46" s="17"/>
      <c r="D46" s="17"/>
      <c r="E46" s="17"/>
      <c r="F46" s="13"/>
      <c r="G46" s="17"/>
      <c r="H46" s="17"/>
      <c r="I46" s="17"/>
      <c r="J46" s="17"/>
      <c r="K46" s="17"/>
      <c r="L46" s="17"/>
      <c r="M46" s="17"/>
      <c r="N46" s="17"/>
      <c r="O46" s="17"/>
      <c r="P46" s="17"/>
      <c r="Q46" s="17"/>
      <c r="R46" s="17"/>
      <c r="S46" s="17"/>
      <c r="T46" s="17"/>
      <c r="U46" s="17"/>
      <c r="V46" s="17"/>
    </row>
    <row r="47" spans="1:23" x14ac:dyDescent="0.25">
      <c r="A47" s="17"/>
      <c r="B47" s="17"/>
      <c r="C47" s="17"/>
      <c r="D47" s="17"/>
      <c r="E47" s="17"/>
      <c r="F47" s="13"/>
      <c r="G47" s="17"/>
      <c r="H47" s="17"/>
      <c r="I47" s="17"/>
      <c r="J47" s="17"/>
      <c r="K47" s="17"/>
      <c r="L47" s="17"/>
      <c r="M47" s="17"/>
      <c r="N47" s="17"/>
      <c r="O47" s="17"/>
      <c r="P47" s="17"/>
      <c r="Q47" s="17"/>
      <c r="R47" s="17"/>
      <c r="S47" s="17"/>
      <c r="T47" s="17"/>
      <c r="U47" s="17"/>
      <c r="V47" s="17"/>
    </row>
    <row r="48" spans="1:23" x14ac:dyDescent="0.25">
      <c r="A48" s="17"/>
      <c r="B48" s="17"/>
      <c r="C48" s="17"/>
      <c r="D48" s="17"/>
      <c r="E48" s="17"/>
      <c r="F48" s="13"/>
      <c r="G48" s="17"/>
      <c r="H48" s="17"/>
      <c r="I48" s="17"/>
      <c r="J48" s="17"/>
      <c r="K48" s="17"/>
      <c r="L48" s="17"/>
      <c r="M48" s="17"/>
      <c r="N48" s="17"/>
      <c r="O48" s="17"/>
      <c r="P48" s="17"/>
      <c r="Q48" s="17"/>
      <c r="R48" s="17"/>
      <c r="S48" s="17"/>
      <c r="T48" s="17"/>
      <c r="U48" s="17"/>
      <c r="V48" s="17"/>
    </row>
    <row r="49" spans="1:22" x14ac:dyDescent="0.25">
      <c r="A49" s="17"/>
      <c r="B49" s="17"/>
      <c r="C49" s="17"/>
      <c r="D49" s="17"/>
      <c r="E49" s="17"/>
      <c r="F49" s="13"/>
      <c r="G49" s="17"/>
      <c r="H49" s="17"/>
      <c r="I49" s="17"/>
      <c r="J49" s="17"/>
      <c r="K49" s="17"/>
      <c r="L49" s="17"/>
      <c r="M49" s="17"/>
      <c r="N49" s="17"/>
      <c r="O49" s="17"/>
      <c r="P49" s="17"/>
      <c r="Q49" s="17"/>
      <c r="R49" s="17"/>
      <c r="S49" s="17"/>
      <c r="T49" s="17"/>
      <c r="U49" s="17"/>
      <c r="V49" s="17"/>
    </row>
    <row r="50" spans="1:22" x14ac:dyDescent="0.25">
      <c r="A50" s="17"/>
      <c r="B50" s="17"/>
      <c r="C50" s="17"/>
      <c r="D50" s="17"/>
      <c r="E50" s="17"/>
      <c r="F50" s="13"/>
      <c r="G50" s="17"/>
      <c r="H50" s="17"/>
      <c r="I50" s="17"/>
      <c r="J50" s="17"/>
      <c r="K50" s="17"/>
      <c r="L50" s="17"/>
      <c r="M50" s="17"/>
      <c r="N50" s="17"/>
      <c r="O50" s="17"/>
      <c r="P50" s="17"/>
      <c r="Q50" s="17"/>
      <c r="R50" s="17"/>
      <c r="S50" s="17"/>
      <c r="T50" s="17"/>
      <c r="U50" s="17"/>
      <c r="V50" s="17"/>
    </row>
    <row r="51" spans="1:22" x14ac:dyDescent="0.25">
      <c r="A51" s="17"/>
      <c r="B51" s="17"/>
      <c r="C51" s="17"/>
      <c r="D51" s="17"/>
      <c r="E51" s="17"/>
      <c r="F51" s="13"/>
      <c r="G51" s="17"/>
      <c r="H51" s="17"/>
      <c r="I51" s="17"/>
      <c r="J51" s="17"/>
      <c r="K51" s="17"/>
      <c r="L51" s="17"/>
      <c r="M51" s="17"/>
      <c r="N51" s="17"/>
      <c r="O51" s="17"/>
      <c r="P51" s="17"/>
      <c r="Q51" s="17"/>
      <c r="R51" s="17"/>
      <c r="S51" s="17"/>
      <c r="T51" s="17"/>
      <c r="U51" s="17"/>
      <c r="V51" s="17"/>
    </row>
    <row r="52" spans="1:22" x14ac:dyDescent="0.25">
      <c r="A52" s="17"/>
      <c r="B52" s="17"/>
      <c r="C52" s="17"/>
      <c r="D52" s="17"/>
      <c r="E52" s="17"/>
      <c r="F52" s="13"/>
      <c r="G52" s="17"/>
      <c r="H52" s="17"/>
      <c r="I52" s="17"/>
      <c r="J52" s="17"/>
      <c r="K52" s="17"/>
      <c r="L52" s="17"/>
      <c r="M52" s="17"/>
      <c r="N52" s="17"/>
      <c r="O52" s="17"/>
      <c r="P52" s="17"/>
      <c r="Q52" s="17"/>
      <c r="R52" s="17"/>
      <c r="S52" s="17"/>
      <c r="T52" s="17"/>
      <c r="U52" s="17"/>
      <c r="V52" s="17"/>
    </row>
    <row r="53" spans="1:22" x14ac:dyDescent="0.25">
      <c r="A53" s="17"/>
      <c r="B53" s="17"/>
      <c r="C53" s="17"/>
      <c r="D53" s="17"/>
      <c r="E53" s="17"/>
      <c r="F53" s="13"/>
      <c r="G53" s="17"/>
      <c r="H53" s="17"/>
      <c r="I53" s="17"/>
      <c r="J53" s="17"/>
      <c r="K53" s="17"/>
      <c r="L53" s="17"/>
      <c r="M53" s="17"/>
      <c r="N53" s="17"/>
      <c r="O53" s="17"/>
      <c r="P53" s="17"/>
      <c r="Q53" s="17"/>
      <c r="R53" s="17"/>
      <c r="S53" s="17"/>
      <c r="T53" s="17"/>
      <c r="U53" s="17"/>
      <c r="V53" s="17"/>
    </row>
    <row r="54" spans="1:22" x14ac:dyDescent="0.25">
      <c r="A54" s="17"/>
      <c r="B54" s="17"/>
      <c r="C54" s="17"/>
      <c r="D54" s="17"/>
      <c r="E54" s="17"/>
      <c r="F54" s="13"/>
      <c r="G54" s="17"/>
      <c r="H54" s="17"/>
      <c r="I54" s="17"/>
      <c r="J54" s="17"/>
      <c r="K54" s="17"/>
      <c r="L54" s="17"/>
      <c r="M54" s="17"/>
      <c r="N54" s="17"/>
      <c r="O54" s="17"/>
      <c r="P54" s="17"/>
      <c r="Q54" s="17"/>
      <c r="R54" s="17"/>
      <c r="S54" s="17"/>
      <c r="T54" s="17"/>
      <c r="U54" s="17"/>
      <c r="V54" s="17"/>
    </row>
    <row r="55" spans="1:22" x14ac:dyDescent="0.25">
      <c r="A55" s="17"/>
      <c r="B55" s="17"/>
      <c r="C55" s="17"/>
      <c r="D55" s="17"/>
      <c r="E55" s="17"/>
      <c r="F55" s="13"/>
      <c r="G55" s="17"/>
      <c r="H55" s="17"/>
      <c r="I55" s="17"/>
      <c r="J55" s="17"/>
      <c r="K55" s="17"/>
      <c r="L55" s="17"/>
      <c r="M55" s="17"/>
      <c r="N55" s="17"/>
      <c r="O55" s="17"/>
      <c r="P55" s="17"/>
      <c r="Q55" s="17"/>
      <c r="R55" s="17"/>
      <c r="S55" s="17"/>
      <c r="T55" s="17"/>
      <c r="U55" s="17"/>
      <c r="V55" s="17"/>
    </row>
    <row r="56" spans="1:22" x14ac:dyDescent="0.25">
      <c r="A56" s="17"/>
      <c r="B56" s="17"/>
      <c r="C56" s="17"/>
      <c r="D56" s="17"/>
      <c r="E56" s="17"/>
      <c r="F56" s="13"/>
      <c r="G56" s="17"/>
      <c r="H56" s="17"/>
      <c r="I56" s="17"/>
      <c r="J56" s="17"/>
      <c r="K56" s="17"/>
      <c r="L56" s="17"/>
      <c r="M56" s="17"/>
      <c r="N56" s="17"/>
      <c r="O56" s="17"/>
      <c r="P56" s="17"/>
      <c r="Q56" s="17"/>
      <c r="R56" s="17"/>
      <c r="S56" s="17"/>
      <c r="T56" s="17"/>
      <c r="U56" s="17"/>
      <c r="V56" s="17"/>
    </row>
    <row r="57" spans="1:22" x14ac:dyDescent="0.25">
      <c r="A57" s="17"/>
      <c r="B57" s="17"/>
      <c r="C57" s="17"/>
      <c r="D57" s="17"/>
      <c r="E57" s="17"/>
      <c r="F57" s="13"/>
      <c r="G57" s="17"/>
      <c r="H57" s="17"/>
      <c r="I57" s="17"/>
      <c r="J57" s="17"/>
      <c r="K57" s="17"/>
      <c r="L57" s="17"/>
      <c r="M57" s="17"/>
      <c r="N57" s="17"/>
      <c r="O57" s="17"/>
      <c r="P57" s="17"/>
      <c r="Q57" s="17"/>
      <c r="R57" s="17"/>
      <c r="S57" s="17"/>
      <c r="T57" s="17"/>
      <c r="U57" s="17"/>
      <c r="V57" s="17"/>
    </row>
    <row r="58" spans="1:22" x14ac:dyDescent="0.25">
      <c r="A58" s="17"/>
      <c r="B58" s="17"/>
      <c r="C58" s="17"/>
      <c r="D58" s="17"/>
      <c r="E58" s="17"/>
      <c r="F58" s="13"/>
      <c r="G58" s="17"/>
      <c r="H58" s="17"/>
      <c r="I58" s="17"/>
      <c r="J58" s="17"/>
      <c r="K58" s="17"/>
      <c r="L58" s="17"/>
      <c r="M58" s="17"/>
      <c r="N58" s="17"/>
      <c r="O58" s="17"/>
      <c r="P58" s="17"/>
      <c r="Q58" s="17"/>
      <c r="R58" s="17"/>
      <c r="S58" s="17"/>
      <c r="T58" s="17"/>
      <c r="U58" s="17"/>
      <c r="V58" s="17"/>
    </row>
    <row r="59" spans="1:22" x14ac:dyDescent="0.25">
      <c r="A59" s="17"/>
      <c r="B59" s="17"/>
      <c r="C59" s="17"/>
      <c r="D59" s="17"/>
      <c r="E59" s="17"/>
      <c r="F59" s="13"/>
      <c r="G59" s="17"/>
      <c r="H59" s="17"/>
      <c r="I59" s="17"/>
      <c r="J59" s="17"/>
      <c r="K59" s="17"/>
      <c r="L59" s="17"/>
      <c r="M59" s="17"/>
      <c r="N59" s="17"/>
      <c r="O59" s="17"/>
      <c r="P59" s="17"/>
      <c r="Q59" s="17"/>
      <c r="R59" s="17"/>
      <c r="S59" s="17"/>
      <c r="T59" s="17"/>
      <c r="U59" s="17"/>
      <c r="V59" s="17"/>
    </row>
    <row r="60" spans="1:22" x14ac:dyDescent="0.25">
      <c r="A60" s="17"/>
      <c r="B60" s="17"/>
      <c r="C60" s="17"/>
      <c r="D60" s="17"/>
      <c r="E60" s="17"/>
      <c r="F60" s="13"/>
      <c r="G60" s="17"/>
      <c r="H60" s="17"/>
      <c r="I60" s="17"/>
      <c r="J60" s="17"/>
      <c r="K60" s="17"/>
      <c r="L60" s="17"/>
      <c r="M60" s="17"/>
      <c r="N60" s="17"/>
      <c r="O60" s="17"/>
      <c r="P60" s="17"/>
      <c r="Q60" s="17"/>
      <c r="R60" s="17"/>
      <c r="S60" s="17"/>
      <c r="T60" s="17"/>
      <c r="U60" s="17"/>
      <c r="V60" s="17"/>
    </row>
    <row r="61" spans="1:22" x14ac:dyDescent="0.25">
      <c r="A61" s="17"/>
      <c r="B61" s="17"/>
      <c r="C61" s="17"/>
      <c r="D61" s="17"/>
      <c r="E61" s="17"/>
      <c r="F61" s="13"/>
      <c r="G61" s="17"/>
      <c r="H61" s="17"/>
      <c r="I61" s="17"/>
      <c r="J61" s="17"/>
      <c r="K61" s="17"/>
      <c r="L61" s="17"/>
      <c r="M61" s="17"/>
      <c r="N61" s="17"/>
      <c r="O61" s="17"/>
      <c r="P61" s="17"/>
      <c r="Q61" s="17"/>
      <c r="R61" s="17"/>
      <c r="S61" s="17"/>
      <c r="T61" s="17"/>
      <c r="U61" s="17"/>
      <c r="V61" s="17"/>
    </row>
    <row r="62" spans="1:22" x14ac:dyDescent="0.25">
      <c r="A62" s="17"/>
      <c r="B62" s="17"/>
      <c r="C62" s="17"/>
      <c r="D62" s="17"/>
      <c r="E62" s="17"/>
      <c r="F62" s="13"/>
      <c r="G62" s="17"/>
      <c r="H62" s="17"/>
      <c r="I62" s="17"/>
      <c r="J62" s="17"/>
      <c r="K62" s="17"/>
      <c r="L62" s="17"/>
      <c r="M62" s="17"/>
      <c r="N62" s="17"/>
      <c r="O62" s="17"/>
      <c r="P62" s="17"/>
      <c r="Q62" s="17"/>
      <c r="R62" s="17"/>
      <c r="S62" s="17"/>
      <c r="T62" s="17"/>
      <c r="U62" s="17"/>
      <c r="V62" s="17"/>
    </row>
    <row r="63" spans="1:22" x14ac:dyDescent="0.25">
      <c r="A63" s="17"/>
      <c r="B63" s="17"/>
      <c r="C63" s="17"/>
      <c r="D63" s="17"/>
      <c r="E63" s="17"/>
      <c r="F63" s="13"/>
      <c r="G63" s="17"/>
      <c r="H63" s="17"/>
      <c r="I63" s="17"/>
      <c r="J63" s="17"/>
      <c r="K63" s="17"/>
      <c r="L63" s="17"/>
      <c r="M63" s="17"/>
      <c r="N63" s="17"/>
      <c r="O63" s="17"/>
      <c r="P63" s="17"/>
      <c r="Q63" s="17"/>
      <c r="R63" s="17"/>
      <c r="S63" s="17"/>
      <c r="T63" s="17"/>
      <c r="U63" s="17"/>
      <c r="V63" s="17"/>
    </row>
    <row r="64" spans="1:22" x14ac:dyDescent="0.25">
      <c r="A64" s="17"/>
      <c r="B64" s="17"/>
      <c r="C64" s="17"/>
      <c r="D64" s="17"/>
      <c r="E64" s="17"/>
      <c r="F64" s="13"/>
      <c r="G64" s="17"/>
      <c r="H64" s="17"/>
      <c r="I64" s="17"/>
      <c r="J64" s="17"/>
      <c r="K64" s="17"/>
      <c r="L64" s="17"/>
      <c r="M64" s="17"/>
      <c r="N64" s="17"/>
      <c r="O64" s="17"/>
      <c r="P64" s="17"/>
      <c r="Q64" s="17"/>
      <c r="R64" s="17"/>
      <c r="S64" s="17"/>
      <c r="T64" s="17"/>
      <c r="U64" s="17"/>
      <c r="V64" s="17"/>
    </row>
    <row r="65" spans="1:22" x14ac:dyDescent="0.25">
      <c r="A65" s="17"/>
      <c r="B65" s="17"/>
      <c r="C65" s="17"/>
      <c r="D65" s="17"/>
      <c r="E65" s="17"/>
      <c r="F65" s="13"/>
      <c r="G65" s="17"/>
      <c r="H65" s="17"/>
      <c r="I65" s="17"/>
      <c r="J65" s="17"/>
      <c r="K65" s="17"/>
      <c r="L65" s="17"/>
      <c r="M65" s="17"/>
      <c r="N65" s="17"/>
      <c r="O65" s="17"/>
      <c r="P65" s="17"/>
      <c r="Q65" s="17"/>
      <c r="R65" s="17"/>
      <c r="S65" s="17"/>
      <c r="T65" s="17"/>
      <c r="U65" s="17"/>
      <c r="V65" s="17"/>
    </row>
    <row r="66" spans="1:22" x14ac:dyDescent="0.25">
      <c r="A66" s="17"/>
      <c r="B66" s="17"/>
      <c r="C66" s="17"/>
      <c r="D66" s="17"/>
      <c r="E66" s="17"/>
      <c r="F66" s="13"/>
      <c r="G66" s="17"/>
      <c r="H66" s="17"/>
      <c r="I66" s="17"/>
      <c r="J66" s="17"/>
      <c r="K66" s="17"/>
      <c r="L66" s="17"/>
      <c r="M66" s="17"/>
      <c r="N66" s="17"/>
      <c r="O66" s="17"/>
      <c r="P66" s="17"/>
      <c r="Q66" s="17"/>
      <c r="R66" s="17"/>
      <c r="S66" s="17"/>
      <c r="T66" s="17"/>
      <c r="U66" s="17"/>
      <c r="V66" s="17"/>
    </row>
    <row r="67" spans="1:22" x14ac:dyDescent="0.25">
      <c r="A67" s="17"/>
      <c r="B67" s="17"/>
      <c r="C67" s="17"/>
      <c r="D67" s="17"/>
      <c r="E67" s="17"/>
      <c r="F67" s="13"/>
      <c r="G67" s="17"/>
      <c r="H67" s="17"/>
      <c r="I67" s="17"/>
      <c r="J67" s="17"/>
      <c r="K67" s="17"/>
      <c r="L67" s="17"/>
      <c r="M67" s="17"/>
      <c r="N67" s="17"/>
      <c r="O67" s="17"/>
      <c r="P67" s="17"/>
      <c r="Q67" s="17"/>
      <c r="R67" s="17"/>
      <c r="S67" s="17"/>
      <c r="T67" s="17"/>
      <c r="U67" s="17"/>
      <c r="V67" s="17"/>
    </row>
    <row r="68" spans="1:22" x14ac:dyDescent="0.25">
      <c r="A68" s="17"/>
      <c r="B68" s="17"/>
      <c r="C68" s="17"/>
      <c r="D68" s="17"/>
      <c r="E68" s="17"/>
      <c r="F68" s="13"/>
      <c r="G68" s="17"/>
      <c r="H68" s="17"/>
      <c r="I68" s="17"/>
      <c r="J68" s="17"/>
      <c r="K68" s="17"/>
      <c r="L68" s="17"/>
      <c r="M68" s="17"/>
      <c r="N68" s="17"/>
      <c r="O68" s="17"/>
      <c r="P68" s="17"/>
      <c r="Q68" s="17"/>
      <c r="R68" s="17"/>
      <c r="S68" s="17"/>
      <c r="T68" s="17"/>
      <c r="U68" s="17"/>
      <c r="V68" s="17"/>
    </row>
    <row r="69" spans="1:22" x14ac:dyDescent="0.25">
      <c r="A69" s="17"/>
      <c r="B69" s="17"/>
      <c r="C69" s="17"/>
      <c r="D69" s="17"/>
      <c r="E69" s="17"/>
      <c r="F69" s="13"/>
      <c r="G69" s="17"/>
      <c r="H69" s="17"/>
      <c r="I69" s="17"/>
      <c r="J69" s="17"/>
      <c r="K69" s="17"/>
      <c r="L69" s="17"/>
      <c r="M69" s="17"/>
      <c r="N69" s="17"/>
      <c r="O69" s="17"/>
      <c r="P69" s="17"/>
      <c r="Q69" s="17"/>
      <c r="R69" s="17"/>
      <c r="S69" s="17"/>
      <c r="T69" s="17"/>
      <c r="U69" s="17"/>
      <c r="V69" s="17"/>
    </row>
    <row r="70" spans="1:22" x14ac:dyDescent="0.25">
      <c r="A70" s="17"/>
      <c r="B70" s="17"/>
      <c r="C70" s="17"/>
      <c r="D70" s="17"/>
      <c r="E70" s="17"/>
      <c r="F70" s="13"/>
      <c r="G70" s="17"/>
      <c r="H70" s="17"/>
      <c r="I70" s="17"/>
      <c r="J70" s="17"/>
      <c r="K70" s="17"/>
      <c r="L70" s="17"/>
      <c r="M70" s="17"/>
      <c r="N70" s="17"/>
      <c r="O70" s="17"/>
      <c r="P70" s="17"/>
      <c r="Q70" s="17"/>
      <c r="R70" s="17"/>
      <c r="S70" s="17"/>
      <c r="T70" s="17"/>
      <c r="U70" s="17"/>
      <c r="V70" s="17"/>
    </row>
    <row r="71" spans="1:22" x14ac:dyDescent="0.25">
      <c r="A71" s="17"/>
      <c r="B71" s="17"/>
      <c r="C71" s="17"/>
      <c r="D71" s="17"/>
      <c r="E71" s="17"/>
      <c r="F71" s="13"/>
      <c r="G71" s="17"/>
      <c r="H71" s="17"/>
      <c r="I71" s="17"/>
      <c r="J71" s="17"/>
      <c r="K71" s="17"/>
      <c r="L71" s="17"/>
      <c r="M71" s="17"/>
      <c r="N71" s="17"/>
      <c r="O71" s="17"/>
      <c r="P71" s="17"/>
      <c r="Q71" s="17"/>
      <c r="R71" s="17"/>
      <c r="S71" s="17"/>
      <c r="T71" s="17"/>
      <c r="U71" s="17"/>
      <c r="V71" s="17"/>
    </row>
    <row r="72" spans="1:22" x14ac:dyDescent="0.25">
      <c r="A72" s="17"/>
      <c r="B72" s="17"/>
      <c r="C72" s="17"/>
      <c r="D72" s="17"/>
      <c r="E72" s="17"/>
      <c r="F72" s="13"/>
      <c r="G72" s="17"/>
      <c r="H72" s="17"/>
      <c r="I72" s="17"/>
      <c r="J72" s="17"/>
      <c r="K72" s="17"/>
      <c r="L72" s="17"/>
      <c r="M72" s="17"/>
      <c r="N72" s="17"/>
      <c r="O72" s="17"/>
      <c r="P72" s="17"/>
      <c r="Q72" s="17"/>
      <c r="R72" s="17"/>
      <c r="S72" s="17"/>
      <c r="T72" s="17"/>
      <c r="U72" s="17"/>
      <c r="V72" s="17"/>
    </row>
    <row r="73" spans="1:22" x14ac:dyDescent="0.25">
      <c r="A73" s="17"/>
      <c r="B73" s="17"/>
      <c r="C73" s="17"/>
      <c r="D73" s="17"/>
      <c r="E73" s="17"/>
      <c r="F73" s="13"/>
      <c r="G73" s="17"/>
      <c r="H73" s="17"/>
      <c r="I73" s="17"/>
      <c r="J73" s="17"/>
      <c r="K73" s="17"/>
      <c r="L73" s="17"/>
      <c r="M73" s="17"/>
      <c r="N73" s="17"/>
      <c r="O73" s="17"/>
      <c r="P73" s="17"/>
      <c r="Q73" s="17"/>
      <c r="R73" s="17"/>
      <c r="S73" s="17"/>
      <c r="T73" s="17"/>
      <c r="U73" s="17"/>
      <c r="V73" s="17"/>
    </row>
    <row r="74" spans="1:22" x14ac:dyDescent="0.25">
      <c r="A74" s="17"/>
      <c r="B74" s="17"/>
      <c r="C74" s="17"/>
      <c r="D74" s="17"/>
      <c r="E74" s="17"/>
      <c r="F74" s="13"/>
      <c r="G74" s="17"/>
      <c r="H74" s="17"/>
      <c r="I74" s="17"/>
      <c r="J74" s="17"/>
      <c r="K74" s="17"/>
      <c r="L74" s="17"/>
      <c r="M74" s="17"/>
      <c r="N74" s="17"/>
      <c r="O74" s="17"/>
      <c r="P74" s="17"/>
      <c r="Q74" s="17"/>
      <c r="R74" s="17"/>
      <c r="S74" s="17"/>
      <c r="T74" s="17"/>
      <c r="U74" s="17"/>
      <c r="V74" s="17"/>
    </row>
    <row r="75" spans="1:22" x14ac:dyDescent="0.25">
      <c r="A75" s="17"/>
      <c r="B75" s="17"/>
      <c r="C75" s="17"/>
      <c r="D75" s="17"/>
      <c r="E75" s="17"/>
      <c r="F75" s="13"/>
      <c r="G75" s="17"/>
      <c r="H75" s="17"/>
      <c r="I75" s="17"/>
      <c r="J75" s="17"/>
      <c r="K75" s="17"/>
      <c r="L75" s="17"/>
      <c r="M75" s="17"/>
      <c r="N75" s="17"/>
      <c r="O75" s="17"/>
      <c r="P75" s="17"/>
      <c r="Q75" s="17"/>
      <c r="R75" s="17"/>
      <c r="S75" s="17"/>
      <c r="T75" s="17"/>
      <c r="U75" s="17"/>
      <c r="V75" s="17"/>
    </row>
    <row r="76" spans="1:22" x14ac:dyDescent="0.25">
      <c r="A76" s="17"/>
      <c r="B76" s="17"/>
      <c r="C76" s="17"/>
      <c r="D76" s="17"/>
      <c r="E76" s="17"/>
      <c r="F76" s="13"/>
      <c r="G76" s="17"/>
      <c r="H76" s="17"/>
      <c r="I76" s="17"/>
      <c r="J76" s="17"/>
      <c r="K76" s="17"/>
      <c r="L76" s="17"/>
      <c r="M76" s="17"/>
      <c r="N76" s="17"/>
      <c r="O76" s="17"/>
      <c r="P76" s="17"/>
      <c r="Q76" s="17"/>
      <c r="R76" s="17"/>
      <c r="S76" s="17"/>
      <c r="T76" s="17"/>
      <c r="U76" s="17"/>
      <c r="V76" s="17"/>
    </row>
    <row r="77" spans="1:22" x14ac:dyDescent="0.25">
      <c r="A77" s="17"/>
      <c r="B77" s="17"/>
      <c r="C77" s="17"/>
      <c r="D77" s="17"/>
      <c r="E77" s="17"/>
      <c r="F77" s="13"/>
      <c r="G77" s="17"/>
      <c r="H77" s="17"/>
      <c r="I77" s="17"/>
      <c r="J77" s="17"/>
      <c r="K77" s="17"/>
      <c r="L77" s="17"/>
      <c r="M77" s="17"/>
      <c r="N77" s="17"/>
      <c r="O77" s="17"/>
      <c r="P77" s="17"/>
      <c r="Q77" s="17"/>
      <c r="R77" s="17"/>
      <c r="S77" s="17"/>
      <c r="T77" s="17"/>
      <c r="U77" s="17"/>
      <c r="V77" s="17"/>
    </row>
    <row r="78" spans="1:22" x14ac:dyDescent="0.25">
      <c r="A78" s="17"/>
      <c r="B78" s="17"/>
      <c r="C78" s="17"/>
      <c r="D78" s="17"/>
      <c r="E78" s="17"/>
      <c r="F78" s="13"/>
      <c r="G78" s="17"/>
      <c r="H78" s="17"/>
      <c r="I78" s="17"/>
      <c r="J78" s="17"/>
      <c r="K78" s="17"/>
      <c r="L78" s="17"/>
      <c r="M78" s="17"/>
      <c r="N78" s="17"/>
      <c r="O78" s="17"/>
      <c r="P78" s="17"/>
      <c r="Q78" s="17"/>
      <c r="R78" s="17"/>
      <c r="S78" s="17"/>
      <c r="T78" s="17"/>
      <c r="U78" s="17"/>
      <c r="V78" s="17"/>
    </row>
    <row r="79" spans="1:22" x14ac:dyDescent="0.25">
      <c r="A79" s="17"/>
      <c r="B79" s="17"/>
      <c r="C79" s="17"/>
      <c r="D79" s="17"/>
      <c r="E79" s="17"/>
      <c r="F79" s="13"/>
      <c r="G79" s="17"/>
      <c r="H79" s="17"/>
      <c r="I79" s="17"/>
      <c r="J79" s="17"/>
      <c r="K79" s="17"/>
      <c r="L79" s="17"/>
      <c r="M79" s="17"/>
      <c r="N79" s="17"/>
      <c r="O79" s="17"/>
      <c r="P79" s="17"/>
      <c r="Q79" s="17"/>
      <c r="R79" s="17"/>
      <c r="S79" s="17"/>
      <c r="T79" s="17"/>
      <c r="U79" s="17"/>
      <c r="V79" s="17"/>
    </row>
    <row r="80" spans="1:22" x14ac:dyDescent="0.25">
      <c r="A80" s="17"/>
      <c r="B80" s="17"/>
      <c r="C80" s="17"/>
      <c r="D80" s="17"/>
      <c r="E80" s="17"/>
      <c r="F80" s="13"/>
      <c r="G80" s="17"/>
      <c r="H80" s="17"/>
      <c r="I80" s="17"/>
      <c r="J80" s="17"/>
      <c r="K80" s="17"/>
      <c r="L80" s="17"/>
      <c r="M80" s="17"/>
      <c r="N80" s="17"/>
      <c r="O80" s="17"/>
      <c r="P80" s="17"/>
      <c r="Q80" s="17"/>
      <c r="R80" s="17"/>
      <c r="S80" s="17"/>
      <c r="T80" s="17"/>
      <c r="U80" s="17"/>
      <c r="V80" s="17"/>
    </row>
    <row r="81" spans="1:22" x14ac:dyDescent="0.25">
      <c r="A81" s="17"/>
      <c r="B81" s="17"/>
      <c r="C81" s="17"/>
      <c r="D81" s="17"/>
      <c r="E81" s="17"/>
      <c r="F81" s="13"/>
      <c r="G81" s="17"/>
      <c r="H81" s="17"/>
      <c r="I81" s="17"/>
      <c r="J81" s="17"/>
      <c r="K81" s="17"/>
      <c r="L81" s="17"/>
      <c r="M81" s="17"/>
      <c r="N81" s="17"/>
      <c r="O81" s="17"/>
      <c r="P81" s="17"/>
      <c r="Q81" s="17"/>
      <c r="R81" s="17"/>
      <c r="S81" s="17"/>
      <c r="T81" s="17"/>
      <c r="U81" s="17"/>
      <c r="V81" s="17"/>
    </row>
    <row r="82" spans="1:22" x14ac:dyDescent="0.25">
      <c r="A82" s="17"/>
      <c r="B82" s="17"/>
      <c r="C82" s="17"/>
      <c r="D82" s="17"/>
      <c r="E82" s="17"/>
      <c r="F82" s="13"/>
      <c r="G82" s="17"/>
      <c r="H82" s="17"/>
      <c r="I82" s="17"/>
      <c r="J82" s="17"/>
      <c r="K82" s="17"/>
      <c r="L82" s="17"/>
      <c r="M82" s="17"/>
      <c r="N82" s="17"/>
      <c r="O82" s="17"/>
      <c r="P82" s="17"/>
      <c r="Q82" s="17"/>
      <c r="R82" s="17"/>
      <c r="S82" s="17"/>
      <c r="T82" s="17"/>
      <c r="U82" s="17"/>
      <c r="V82" s="17"/>
    </row>
    <row r="83" spans="1:22" x14ac:dyDescent="0.25">
      <c r="A83" s="17"/>
      <c r="B83" s="17"/>
      <c r="C83" s="17"/>
      <c r="D83" s="17"/>
      <c r="E83" s="17"/>
      <c r="F83" s="13"/>
      <c r="G83" s="17"/>
      <c r="H83" s="17"/>
      <c r="I83" s="17"/>
      <c r="J83" s="17"/>
      <c r="K83" s="17"/>
      <c r="L83" s="17"/>
      <c r="M83" s="17"/>
      <c r="N83" s="17"/>
      <c r="O83" s="17"/>
      <c r="P83" s="17"/>
      <c r="Q83" s="17"/>
      <c r="R83" s="17"/>
      <c r="S83" s="17"/>
      <c r="T83" s="17"/>
      <c r="U83" s="17"/>
      <c r="V83" s="17"/>
    </row>
    <row r="84" spans="1:22" x14ac:dyDescent="0.25">
      <c r="A84" s="17"/>
      <c r="B84" s="17"/>
      <c r="C84" s="17"/>
      <c r="D84" s="17"/>
      <c r="E84" s="17"/>
      <c r="F84" s="13"/>
      <c r="G84" s="17"/>
      <c r="H84" s="17"/>
      <c r="I84" s="17"/>
      <c r="J84" s="17"/>
      <c r="K84" s="17"/>
      <c r="L84" s="17"/>
      <c r="M84" s="17"/>
      <c r="N84" s="17"/>
      <c r="O84" s="17"/>
      <c r="P84" s="17"/>
      <c r="Q84" s="17"/>
      <c r="R84" s="17"/>
      <c r="S84" s="17"/>
      <c r="T84" s="17"/>
      <c r="U84" s="17"/>
      <c r="V84" s="17"/>
    </row>
    <row r="85" spans="1:22" x14ac:dyDescent="0.25">
      <c r="A85" s="17"/>
      <c r="B85" s="17"/>
      <c r="C85" s="17"/>
      <c r="D85" s="17"/>
      <c r="E85" s="17"/>
      <c r="F85" s="13"/>
      <c r="G85" s="17"/>
      <c r="H85" s="17"/>
      <c r="I85" s="17"/>
      <c r="J85" s="17"/>
      <c r="K85" s="17"/>
      <c r="L85" s="17"/>
      <c r="M85" s="17"/>
      <c r="N85" s="17"/>
      <c r="O85" s="17"/>
      <c r="P85" s="17"/>
      <c r="Q85" s="17"/>
      <c r="R85" s="17"/>
      <c r="S85" s="17"/>
      <c r="T85" s="17"/>
      <c r="U85" s="17"/>
      <c r="V85" s="17"/>
    </row>
    <row r="86" spans="1:22" x14ac:dyDescent="0.25">
      <c r="A86" s="17"/>
      <c r="B86" s="17"/>
      <c r="C86" s="17"/>
      <c r="D86" s="17"/>
      <c r="E86" s="17"/>
      <c r="F86" s="13"/>
      <c r="G86" s="17"/>
      <c r="H86" s="17"/>
      <c r="I86" s="17"/>
      <c r="J86" s="17"/>
      <c r="K86" s="17"/>
      <c r="L86" s="17"/>
      <c r="M86" s="17"/>
      <c r="N86" s="17"/>
      <c r="O86" s="17"/>
      <c r="P86" s="17"/>
      <c r="Q86" s="17"/>
      <c r="R86" s="17"/>
      <c r="S86" s="17"/>
      <c r="T86" s="17"/>
      <c r="U86" s="17"/>
      <c r="V86" s="17"/>
    </row>
    <row r="87" spans="1:22" x14ac:dyDescent="0.25">
      <c r="A87" s="17"/>
      <c r="B87" s="17"/>
      <c r="C87" s="17"/>
      <c r="D87" s="17"/>
      <c r="E87" s="17"/>
      <c r="F87" s="13"/>
      <c r="G87" s="17"/>
      <c r="H87" s="17"/>
      <c r="I87" s="17"/>
      <c r="J87" s="17"/>
      <c r="K87" s="17"/>
      <c r="L87" s="17"/>
      <c r="M87" s="17"/>
      <c r="N87" s="17"/>
      <c r="O87" s="17"/>
      <c r="P87" s="17"/>
      <c r="Q87" s="17"/>
      <c r="R87" s="17"/>
      <c r="S87" s="17"/>
      <c r="T87" s="17"/>
      <c r="U87" s="17"/>
      <c r="V87" s="17"/>
    </row>
    <row r="88" spans="1:22" x14ac:dyDescent="0.25">
      <c r="A88" s="17"/>
      <c r="B88" s="17"/>
      <c r="C88" s="17"/>
      <c r="D88" s="17"/>
      <c r="E88" s="17"/>
      <c r="F88" s="13"/>
      <c r="G88" s="17"/>
      <c r="H88" s="17"/>
      <c r="I88" s="17"/>
      <c r="J88" s="17"/>
      <c r="K88" s="17"/>
      <c r="L88" s="17"/>
      <c r="M88" s="17"/>
      <c r="N88" s="17"/>
      <c r="O88" s="17"/>
      <c r="P88" s="17"/>
      <c r="Q88" s="17"/>
      <c r="R88" s="17"/>
      <c r="S88" s="17"/>
      <c r="T88" s="17"/>
      <c r="U88" s="17"/>
      <c r="V88" s="17"/>
    </row>
    <row r="89" spans="1:22" x14ac:dyDescent="0.25">
      <c r="A89" s="17"/>
      <c r="B89" s="17"/>
      <c r="C89" s="17"/>
      <c r="D89" s="17"/>
      <c r="E89" s="17"/>
      <c r="F89" s="13"/>
      <c r="G89" s="17"/>
      <c r="H89" s="17"/>
      <c r="I89" s="17"/>
      <c r="J89" s="17"/>
      <c r="K89" s="17"/>
      <c r="L89" s="17"/>
      <c r="M89" s="17"/>
      <c r="N89" s="17"/>
      <c r="O89" s="17"/>
      <c r="P89" s="17"/>
      <c r="Q89" s="17"/>
      <c r="R89" s="17"/>
      <c r="S89" s="17"/>
      <c r="T89" s="17"/>
      <c r="U89" s="17"/>
      <c r="V89" s="17"/>
    </row>
    <row r="90" spans="1:22" x14ac:dyDescent="0.25">
      <c r="A90" s="17"/>
      <c r="B90" s="17"/>
      <c r="C90" s="17"/>
      <c r="D90" s="17"/>
      <c r="E90" s="17"/>
      <c r="F90" s="13"/>
      <c r="G90" s="17"/>
      <c r="H90" s="17"/>
      <c r="I90" s="17"/>
      <c r="J90" s="17"/>
      <c r="K90" s="17"/>
      <c r="L90" s="17"/>
      <c r="M90" s="17"/>
      <c r="N90" s="17"/>
      <c r="O90" s="17"/>
      <c r="P90" s="17"/>
      <c r="Q90" s="17"/>
      <c r="R90" s="17"/>
      <c r="S90" s="17"/>
      <c r="T90" s="17"/>
      <c r="U90" s="17"/>
      <c r="V90" s="17"/>
    </row>
    <row r="91" spans="1:22" x14ac:dyDescent="0.25">
      <c r="A91" s="17"/>
      <c r="B91" s="17"/>
      <c r="C91" s="17"/>
      <c r="D91" s="17"/>
      <c r="E91" s="17"/>
      <c r="F91" s="13"/>
      <c r="G91" s="17"/>
      <c r="H91" s="17"/>
      <c r="I91" s="17"/>
      <c r="J91" s="17"/>
      <c r="K91" s="17"/>
      <c r="L91" s="17"/>
      <c r="M91" s="17"/>
      <c r="N91" s="17"/>
      <c r="O91" s="17"/>
      <c r="P91" s="17"/>
      <c r="Q91" s="17"/>
      <c r="R91" s="17"/>
      <c r="S91" s="17"/>
      <c r="T91" s="17"/>
      <c r="U91" s="17"/>
      <c r="V91" s="17"/>
    </row>
    <row r="92" spans="1:22" x14ac:dyDescent="0.25">
      <c r="A92" s="17"/>
      <c r="B92" s="17"/>
      <c r="C92" s="17"/>
      <c r="D92" s="17"/>
      <c r="E92" s="17"/>
      <c r="F92" s="13"/>
      <c r="G92" s="17"/>
      <c r="H92" s="17"/>
      <c r="I92" s="17"/>
      <c r="J92" s="17"/>
      <c r="K92" s="17"/>
      <c r="L92" s="17"/>
      <c r="M92" s="17"/>
      <c r="N92" s="17"/>
      <c r="O92" s="17"/>
      <c r="P92" s="17"/>
      <c r="Q92" s="17"/>
      <c r="R92" s="17"/>
      <c r="S92" s="17"/>
      <c r="T92" s="17"/>
      <c r="U92" s="17"/>
      <c r="V92" s="17"/>
    </row>
    <row r="93" spans="1:22" x14ac:dyDescent="0.25">
      <c r="A93" s="17"/>
      <c r="B93" s="17"/>
      <c r="C93" s="17"/>
      <c r="D93" s="17"/>
      <c r="E93" s="17"/>
      <c r="F93" s="13"/>
      <c r="G93" s="17"/>
      <c r="H93" s="17"/>
      <c r="I93" s="17"/>
      <c r="J93" s="17"/>
      <c r="K93" s="17"/>
      <c r="L93" s="17"/>
      <c r="M93" s="17"/>
      <c r="N93" s="17"/>
      <c r="O93" s="17"/>
      <c r="P93" s="17"/>
      <c r="Q93" s="17"/>
      <c r="R93" s="17"/>
      <c r="S93" s="17"/>
      <c r="T93" s="17"/>
      <c r="U93" s="17"/>
      <c r="V93" s="17"/>
    </row>
    <row r="94" spans="1:22" x14ac:dyDescent="0.25">
      <c r="A94" s="17"/>
      <c r="B94" s="17"/>
      <c r="C94" s="17"/>
      <c r="D94" s="17"/>
      <c r="E94" s="17"/>
      <c r="F94" s="13"/>
      <c r="G94" s="17"/>
      <c r="H94" s="17"/>
      <c r="I94" s="17"/>
      <c r="J94" s="17"/>
      <c r="K94" s="17"/>
      <c r="L94" s="17"/>
      <c r="M94" s="17"/>
      <c r="N94" s="17"/>
      <c r="O94" s="17"/>
      <c r="P94" s="17"/>
      <c r="Q94" s="17"/>
      <c r="R94" s="17"/>
      <c r="S94" s="17"/>
      <c r="T94" s="17"/>
      <c r="U94" s="17"/>
      <c r="V94" s="17"/>
    </row>
    <row r="95" spans="1:22" x14ac:dyDescent="0.25">
      <c r="A95" s="17"/>
      <c r="B95" s="17"/>
      <c r="C95" s="17"/>
      <c r="D95" s="17"/>
      <c r="E95" s="17"/>
      <c r="F95" s="13"/>
      <c r="G95" s="17"/>
      <c r="H95" s="17"/>
      <c r="I95" s="17"/>
      <c r="J95" s="17"/>
      <c r="K95" s="17"/>
      <c r="L95" s="17"/>
      <c r="M95" s="17"/>
      <c r="N95" s="17"/>
      <c r="O95" s="17"/>
      <c r="P95" s="17"/>
      <c r="Q95" s="17"/>
      <c r="R95" s="17"/>
      <c r="S95" s="17"/>
      <c r="T95" s="17"/>
      <c r="U95" s="17"/>
      <c r="V95" s="17"/>
    </row>
    <row r="96" spans="1:22" x14ac:dyDescent="0.25">
      <c r="A96" s="17"/>
      <c r="B96" s="17"/>
      <c r="C96" s="17"/>
      <c r="D96" s="17"/>
      <c r="E96" s="17"/>
      <c r="F96" s="13"/>
      <c r="G96" s="17"/>
      <c r="H96" s="17"/>
      <c r="I96" s="17"/>
      <c r="J96" s="17"/>
      <c r="K96" s="17"/>
      <c r="L96" s="17"/>
      <c r="M96" s="17"/>
      <c r="N96" s="17"/>
      <c r="O96" s="17"/>
      <c r="P96" s="17"/>
      <c r="Q96" s="17"/>
      <c r="R96" s="17"/>
      <c r="S96" s="17"/>
      <c r="T96" s="17"/>
      <c r="U96" s="17"/>
      <c r="V96" s="17"/>
    </row>
    <row r="97" spans="1:22" x14ac:dyDescent="0.25">
      <c r="A97" s="17"/>
      <c r="B97" s="17"/>
      <c r="C97" s="17"/>
      <c r="D97" s="17"/>
      <c r="E97" s="17"/>
      <c r="F97" s="13"/>
      <c r="G97" s="17"/>
      <c r="H97" s="17"/>
      <c r="I97" s="17"/>
      <c r="J97" s="17"/>
      <c r="K97" s="17"/>
      <c r="L97" s="17"/>
      <c r="M97" s="17"/>
      <c r="N97" s="17"/>
      <c r="O97" s="17"/>
      <c r="P97" s="17"/>
      <c r="Q97" s="17"/>
      <c r="R97" s="17"/>
      <c r="S97" s="17"/>
      <c r="T97" s="17"/>
      <c r="U97" s="17"/>
      <c r="V97" s="17"/>
    </row>
    <row r="98" spans="1:22" x14ac:dyDescent="0.25">
      <c r="A98" s="17"/>
      <c r="B98" s="17"/>
      <c r="C98" s="17"/>
      <c r="D98" s="17"/>
      <c r="E98" s="17"/>
      <c r="F98" s="13"/>
      <c r="G98" s="17"/>
      <c r="H98" s="17"/>
      <c r="I98" s="17"/>
      <c r="J98" s="17"/>
      <c r="K98" s="17"/>
      <c r="L98" s="17"/>
      <c r="M98" s="17"/>
      <c r="N98" s="17"/>
      <c r="O98" s="17"/>
      <c r="P98" s="17"/>
      <c r="Q98" s="17"/>
      <c r="R98" s="17"/>
      <c r="S98" s="17"/>
      <c r="T98" s="17"/>
      <c r="U98" s="17"/>
      <c r="V98" s="17"/>
    </row>
    <row r="99" spans="1:22" x14ac:dyDescent="0.25">
      <c r="A99" s="17"/>
      <c r="B99" s="17"/>
      <c r="C99" s="17"/>
      <c r="D99" s="17"/>
      <c r="E99" s="17"/>
      <c r="F99" s="13"/>
      <c r="G99" s="17"/>
      <c r="H99" s="17"/>
      <c r="I99" s="17"/>
      <c r="J99" s="17"/>
      <c r="K99" s="17"/>
      <c r="L99" s="17"/>
      <c r="M99" s="17"/>
      <c r="N99" s="17"/>
      <c r="O99" s="17"/>
      <c r="P99" s="17"/>
      <c r="Q99" s="17"/>
      <c r="R99" s="17"/>
      <c r="S99" s="17"/>
      <c r="T99" s="17"/>
      <c r="U99" s="17"/>
      <c r="V99" s="17"/>
    </row>
    <row r="100" spans="1:22" x14ac:dyDescent="0.25">
      <c r="A100" s="17"/>
      <c r="B100" s="17"/>
      <c r="C100" s="17"/>
      <c r="D100" s="17"/>
      <c r="E100" s="17"/>
      <c r="F100" s="13"/>
      <c r="G100" s="17"/>
      <c r="H100" s="17"/>
      <c r="I100" s="17"/>
      <c r="J100" s="17"/>
      <c r="K100" s="17"/>
      <c r="L100" s="17"/>
      <c r="M100" s="17"/>
      <c r="N100" s="17"/>
      <c r="O100" s="17"/>
      <c r="P100" s="17"/>
      <c r="Q100" s="17"/>
      <c r="R100" s="17"/>
      <c r="S100" s="17"/>
      <c r="T100" s="17"/>
      <c r="U100" s="17"/>
      <c r="V100" s="17"/>
    </row>
    <row r="101" spans="1:22" x14ac:dyDescent="0.25">
      <c r="A101" s="17"/>
      <c r="B101" s="17"/>
      <c r="C101" s="17"/>
      <c r="D101" s="17"/>
      <c r="E101" s="17"/>
      <c r="F101" s="13"/>
      <c r="G101" s="17"/>
      <c r="H101" s="17"/>
      <c r="I101" s="17"/>
      <c r="J101" s="17"/>
      <c r="K101" s="17"/>
      <c r="L101" s="17"/>
      <c r="M101" s="17"/>
      <c r="N101" s="17"/>
      <c r="O101" s="17"/>
      <c r="P101" s="17"/>
      <c r="Q101" s="17"/>
      <c r="R101" s="17"/>
      <c r="S101" s="17"/>
      <c r="T101" s="17"/>
      <c r="U101" s="17"/>
      <c r="V101" s="17"/>
    </row>
    <row r="102" spans="1:22" x14ac:dyDescent="0.25">
      <c r="A102" s="17"/>
      <c r="B102" s="17"/>
      <c r="C102" s="17"/>
      <c r="D102" s="17"/>
      <c r="E102" s="17"/>
      <c r="F102" s="13"/>
      <c r="G102" s="17"/>
      <c r="H102" s="17"/>
      <c r="I102" s="17"/>
      <c r="J102" s="17"/>
      <c r="K102" s="17"/>
      <c r="L102" s="17"/>
      <c r="M102" s="17"/>
      <c r="N102" s="17"/>
      <c r="O102" s="17"/>
      <c r="P102" s="17"/>
      <c r="Q102" s="17"/>
      <c r="R102" s="17"/>
      <c r="S102" s="17"/>
      <c r="T102" s="17"/>
      <c r="U102" s="17"/>
      <c r="V102" s="17"/>
    </row>
    <row r="103" spans="1:22" x14ac:dyDescent="0.25">
      <c r="A103" s="17"/>
      <c r="B103" s="17"/>
      <c r="C103" s="17"/>
      <c r="D103" s="17"/>
      <c r="E103" s="17"/>
      <c r="F103" s="13"/>
      <c r="G103" s="17"/>
      <c r="H103" s="17"/>
      <c r="I103" s="17"/>
      <c r="J103" s="17"/>
      <c r="K103" s="17"/>
      <c r="L103" s="17"/>
      <c r="M103" s="17"/>
      <c r="N103" s="17"/>
      <c r="O103" s="17"/>
      <c r="P103" s="17"/>
      <c r="Q103" s="17"/>
      <c r="R103" s="17"/>
      <c r="S103" s="17"/>
      <c r="T103" s="17"/>
      <c r="U103" s="17"/>
      <c r="V103" s="17"/>
    </row>
    <row r="104" spans="1:22" x14ac:dyDescent="0.25">
      <c r="A104" s="17"/>
      <c r="B104" s="17"/>
      <c r="C104" s="17"/>
      <c r="D104" s="17"/>
      <c r="E104" s="17"/>
      <c r="F104" s="13"/>
      <c r="G104" s="17"/>
      <c r="H104" s="17"/>
      <c r="I104" s="17"/>
      <c r="J104" s="17"/>
      <c r="K104" s="17"/>
      <c r="L104" s="17"/>
      <c r="M104" s="17"/>
      <c r="N104" s="17"/>
      <c r="O104" s="17"/>
      <c r="P104" s="17"/>
      <c r="Q104" s="17"/>
      <c r="R104" s="17"/>
      <c r="S104" s="17"/>
      <c r="T104" s="17"/>
      <c r="U104" s="17"/>
      <c r="V104" s="17"/>
    </row>
    <row r="105" spans="1:22" x14ac:dyDescent="0.25">
      <c r="A105" s="17"/>
      <c r="B105" s="17"/>
      <c r="C105" s="17"/>
      <c r="D105" s="17"/>
      <c r="E105" s="17"/>
      <c r="F105" s="13"/>
      <c r="G105" s="17"/>
      <c r="H105" s="17"/>
      <c r="I105" s="17"/>
      <c r="J105" s="17"/>
      <c r="K105" s="17"/>
      <c r="L105" s="17"/>
      <c r="M105" s="17"/>
      <c r="N105" s="17"/>
      <c r="O105" s="17"/>
      <c r="P105" s="17"/>
      <c r="Q105" s="17"/>
      <c r="R105" s="17"/>
      <c r="S105" s="17"/>
      <c r="T105" s="17"/>
      <c r="U105" s="17"/>
      <c r="V105" s="17"/>
    </row>
    <row r="106" spans="1:22" x14ac:dyDescent="0.25">
      <c r="O106" s="17"/>
      <c r="P106" s="17"/>
      <c r="Q106" s="17"/>
      <c r="R106" s="17"/>
      <c r="S106" s="17"/>
      <c r="T106" s="17"/>
      <c r="U106" s="17"/>
      <c r="V106" s="17"/>
    </row>
    <row r="107" spans="1:22" x14ac:dyDescent="0.25">
      <c r="O107" s="17"/>
      <c r="P107" s="17"/>
      <c r="Q107" s="17"/>
      <c r="R107" s="17"/>
      <c r="S107" s="17"/>
      <c r="T107" s="17"/>
      <c r="U107" s="17"/>
      <c r="V107" s="17"/>
    </row>
    <row r="108" spans="1:22" x14ac:dyDescent="0.25">
      <c r="O108" s="17"/>
      <c r="P108" s="17"/>
      <c r="Q108" s="17"/>
      <c r="R108" s="17"/>
      <c r="S108" s="17"/>
      <c r="T108" s="17"/>
      <c r="U108" s="17"/>
      <c r="V108" s="17"/>
    </row>
    <row r="109" spans="1:22" x14ac:dyDescent="0.25">
      <c r="O109" s="17"/>
      <c r="P109" s="17"/>
      <c r="Q109" s="17"/>
      <c r="R109" s="17"/>
      <c r="S109" s="17"/>
      <c r="T109" s="17"/>
      <c r="U109" s="17"/>
      <c r="V109" s="17"/>
    </row>
    <row r="110" spans="1:22" x14ac:dyDescent="0.25">
      <c r="O110" s="17"/>
      <c r="P110" s="17"/>
      <c r="Q110" s="17"/>
      <c r="R110" s="17"/>
      <c r="S110" s="17"/>
      <c r="T110" s="17"/>
      <c r="U110" s="17"/>
      <c r="V110" s="17"/>
    </row>
    <row r="111" spans="1:22" x14ac:dyDescent="0.25">
      <c r="O111" s="17"/>
      <c r="P111" s="17"/>
      <c r="Q111" s="17"/>
      <c r="R111" s="17"/>
      <c r="S111" s="17"/>
      <c r="T111" s="17"/>
      <c r="U111" s="17"/>
      <c r="V111" s="17"/>
    </row>
    <row r="112" spans="1:22" x14ac:dyDescent="0.25">
      <c r="O112" s="17"/>
      <c r="P112" s="17"/>
      <c r="Q112" s="17"/>
      <c r="R112" s="17"/>
      <c r="S112" s="17"/>
      <c r="T112" s="17"/>
      <c r="U112" s="17"/>
      <c r="V112" s="17"/>
    </row>
    <row r="113" spans="15:22" x14ac:dyDescent="0.25">
      <c r="O113" s="17"/>
      <c r="P113" s="17"/>
      <c r="Q113" s="17"/>
      <c r="R113" s="17"/>
      <c r="S113" s="17"/>
      <c r="T113" s="17"/>
      <c r="U113" s="17"/>
      <c r="V113" s="17"/>
    </row>
    <row r="114" spans="15:22" x14ac:dyDescent="0.25">
      <c r="O114" s="17"/>
      <c r="P114" s="17"/>
      <c r="Q114" s="17"/>
      <c r="R114" s="17"/>
      <c r="S114" s="17"/>
      <c r="T114" s="17"/>
      <c r="U114" s="17"/>
      <c r="V114" s="17"/>
    </row>
    <row r="115" spans="15:22" x14ac:dyDescent="0.25">
      <c r="O115" s="17"/>
      <c r="P115" s="17"/>
      <c r="Q115" s="17"/>
      <c r="R115" s="17"/>
      <c r="S115" s="17"/>
      <c r="T115" s="17"/>
      <c r="U115" s="17"/>
      <c r="V115" s="17"/>
    </row>
    <row r="116" spans="15:22" x14ac:dyDescent="0.25">
      <c r="O116" s="17"/>
      <c r="P116" s="17"/>
      <c r="Q116" s="17"/>
      <c r="R116" s="17"/>
      <c r="S116" s="17"/>
      <c r="T116" s="17"/>
      <c r="U116" s="17"/>
      <c r="V116" s="17"/>
    </row>
    <row r="117" spans="15:22" x14ac:dyDescent="0.25">
      <c r="O117" s="17"/>
      <c r="P117" s="17"/>
      <c r="Q117" s="17"/>
      <c r="R117" s="17"/>
      <c r="S117" s="17"/>
      <c r="T117" s="17"/>
      <c r="U117" s="17"/>
      <c r="V117" s="17"/>
    </row>
    <row r="118" spans="15:22" x14ac:dyDescent="0.25">
      <c r="O118" s="17"/>
      <c r="P118" s="17"/>
      <c r="Q118" s="17"/>
      <c r="R118" s="17"/>
      <c r="S118" s="17"/>
      <c r="T118" s="17"/>
      <c r="U118" s="17"/>
      <c r="V118" s="17"/>
    </row>
    <row r="119" spans="15:22" x14ac:dyDescent="0.25">
      <c r="O119" s="17"/>
      <c r="P119" s="17"/>
      <c r="Q119" s="17"/>
      <c r="R119" s="17"/>
      <c r="S119" s="17"/>
      <c r="T119" s="17"/>
      <c r="U119" s="17"/>
      <c r="V119" s="17"/>
    </row>
    <row r="120" spans="15:22" x14ac:dyDescent="0.25">
      <c r="O120" s="17"/>
      <c r="P120" s="17"/>
      <c r="Q120" s="17"/>
      <c r="R120" s="17"/>
      <c r="S120" s="17"/>
      <c r="T120" s="17"/>
      <c r="U120" s="17"/>
      <c r="V120" s="17"/>
    </row>
    <row r="121" spans="15:22" x14ac:dyDescent="0.25">
      <c r="O121" s="17"/>
      <c r="P121" s="17"/>
      <c r="Q121" s="17"/>
      <c r="R121" s="17"/>
      <c r="S121" s="17"/>
      <c r="T121" s="17"/>
      <c r="U121" s="17"/>
      <c r="V121" s="17"/>
    </row>
    <row r="122" spans="15:22" x14ac:dyDescent="0.25">
      <c r="O122" s="17"/>
      <c r="P122" s="17"/>
      <c r="Q122" s="17"/>
      <c r="R122" s="17"/>
      <c r="S122" s="17"/>
      <c r="T122" s="17"/>
      <c r="U122" s="17"/>
      <c r="V122" s="17"/>
    </row>
    <row r="123" spans="15:22" x14ac:dyDescent="0.25">
      <c r="O123" s="17"/>
      <c r="P123" s="17"/>
      <c r="Q123" s="17"/>
      <c r="R123" s="17"/>
      <c r="S123" s="17"/>
      <c r="T123" s="17"/>
      <c r="U123" s="17"/>
      <c r="V123" s="17"/>
    </row>
    <row r="124" spans="15:22" x14ac:dyDescent="0.25">
      <c r="O124" s="17"/>
      <c r="P124" s="17"/>
      <c r="Q124" s="17"/>
      <c r="R124" s="17"/>
      <c r="S124" s="17"/>
      <c r="T124" s="17"/>
      <c r="U124" s="17"/>
      <c r="V124" s="17"/>
    </row>
    <row r="125" spans="15:22" x14ac:dyDescent="0.25">
      <c r="O125" s="17"/>
      <c r="P125" s="17"/>
      <c r="Q125" s="17"/>
      <c r="R125" s="17"/>
      <c r="S125" s="17"/>
      <c r="T125" s="17"/>
      <c r="U125" s="17"/>
      <c r="V125" s="17"/>
    </row>
    <row r="126" spans="15:22" x14ac:dyDescent="0.25">
      <c r="O126" s="17"/>
      <c r="P126" s="17"/>
      <c r="Q126" s="17"/>
      <c r="R126" s="17"/>
      <c r="S126" s="17"/>
      <c r="T126" s="17"/>
      <c r="U126" s="17"/>
      <c r="V126" s="17"/>
    </row>
    <row r="127" spans="15:22" x14ac:dyDescent="0.25">
      <c r="O127" s="17"/>
      <c r="P127" s="17"/>
      <c r="Q127" s="17"/>
      <c r="R127" s="17"/>
      <c r="S127" s="17"/>
      <c r="T127" s="17"/>
      <c r="U127" s="17"/>
      <c r="V127" s="17"/>
    </row>
    <row r="128" spans="15:22" x14ac:dyDescent="0.25">
      <c r="O128" s="17"/>
      <c r="P128" s="17"/>
      <c r="Q128" s="17"/>
      <c r="R128" s="17"/>
      <c r="S128" s="17"/>
      <c r="T128" s="17"/>
      <c r="U128" s="17"/>
      <c r="V128" s="17"/>
    </row>
    <row r="129" spans="15:22" x14ac:dyDescent="0.25">
      <c r="O129" s="17"/>
      <c r="P129" s="17"/>
      <c r="Q129" s="17"/>
      <c r="R129" s="17"/>
      <c r="S129" s="17"/>
      <c r="T129" s="17"/>
      <c r="U129" s="17"/>
      <c r="V129" s="17"/>
    </row>
    <row r="130" spans="15:22" x14ac:dyDescent="0.25">
      <c r="O130" s="17"/>
      <c r="P130" s="17"/>
      <c r="Q130" s="17"/>
      <c r="R130" s="17"/>
      <c r="S130" s="17"/>
      <c r="T130" s="17"/>
      <c r="U130" s="17"/>
      <c r="V130" s="17"/>
    </row>
    <row r="131" spans="15:22" x14ac:dyDescent="0.25">
      <c r="O131" s="17"/>
      <c r="P131" s="17"/>
      <c r="Q131" s="17"/>
      <c r="R131" s="17"/>
      <c r="S131" s="17"/>
      <c r="T131" s="17"/>
      <c r="U131" s="17"/>
      <c r="V131" s="17"/>
    </row>
    <row r="132" spans="15:22" x14ac:dyDescent="0.25">
      <c r="O132" s="17"/>
      <c r="P132" s="17"/>
      <c r="Q132" s="17"/>
      <c r="R132" s="17"/>
      <c r="S132" s="17"/>
      <c r="T132" s="17"/>
      <c r="U132" s="17"/>
      <c r="V132" s="17"/>
    </row>
    <row r="133" spans="15:22" x14ac:dyDescent="0.25">
      <c r="O133" s="17"/>
      <c r="P133" s="17"/>
      <c r="Q133" s="17"/>
      <c r="R133" s="17"/>
      <c r="S133" s="17"/>
      <c r="T133" s="17"/>
      <c r="U133" s="17"/>
      <c r="V133" s="17"/>
    </row>
    <row r="134" spans="15:22" x14ac:dyDescent="0.25">
      <c r="O134" s="17"/>
      <c r="P134" s="17"/>
      <c r="Q134" s="17"/>
      <c r="R134" s="17"/>
      <c r="S134" s="17"/>
      <c r="T134" s="17"/>
      <c r="U134" s="17"/>
      <c r="V134" s="17"/>
    </row>
    <row r="135" spans="15:22" x14ac:dyDescent="0.25">
      <c r="O135" s="17"/>
      <c r="P135" s="17"/>
      <c r="Q135" s="17"/>
      <c r="R135" s="17"/>
      <c r="S135" s="17"/>
      <c r="T135" s="17"/>
      <c r="U135" s="17"/>
      <c r="V135" s="17"/>
    </row>
    <row r="136" spans="15:22" x14ac:dyDescent="0.25">
      <c r="O136" s="17"/>
      <c r="P136" s="17"/>
      <c r="Q136" s="17"/>
      <c r="R136" s="17"/>
      <c r="S136" s="17"/>
      <c r="T136" s="17"/>
      <c r="U136" s="17"/>
      <c r="V136" s="17"/>
    </row>
    <row r="137" spans="15:22" x14ac:dyDescent="0.25">
      <c r="O137" s="17"/>
      <c r="P137" s="17"/>
      <c r="Q137" s="17"/>
      <c r="R137" s="17"/>
      <c r="S137" s="17"/>
      <c r="T137" s="17"/>
      <c r="U137" s="17"/>
      <c r="V137" s="17"/>
    </row>
    <row r="138" spans="15:22" x14ac:dyDescent="0.25">
      <c r="O138" s="17"/>
      <c r="P138" s="17"/>
      <c r="Q138" s="17"/>
      <c r="R138" s="17"/>
      <c r="S138" s="17"/>
      <c r="T138" s="17"/>
      <c r="U138" s="17"/>
      <c r="V138" s="17"/>
    </row>
    <row r="139" spans="15:22" x14ac:dyDescent="0.25">
      <c r="O139" s="17"/>
      <c r="P139" s="17"/>
      <c r="Q139" s="17"/>
      <c r="R139" s="17"/>
      <c r="S139" s="17"/>
      <c r="T139" s="17"/>
      <c r="U139" s="17"/>
      <c r="V139" s="17"/>
    </row>
    <row r="140" spans="15:22" x14ac:dyDescent="0.25">
      <c r="O140" s="17"/>
      <c r="P140" s="17"/>
      <c r="Q140" s="17"/>
      <c r="R140" s="17"/>
      <c r="S140" s="17"/>
      <c r="T140" s="17"/>
      <c r="U140" s="17"/>
      <c r="V140" s="17"/>
    </row>
    <row r="141" spans="15:22" x14ac:dyDescent="0.25">
      <c r="O141" s="17"/>
      <c r="P141" s="17"/>
      <c r="Q141" s="17"/>
      <c r="R141" s="17"/>
      <c r="S141" s="17"/>
      <c r="T141" s="17"/>
      <c r="U141" s="17"/>
      <c r="V141" s="17"/>
    </row>
    <row r="142" spans="15:22" x14ac:dyDescent="0.25">
      <c r="O142" s="17"/>
      <c r="P142" s="17"/>
      <c r="Q142" s="17"/>
      <c r="R142" s="17"/>
      <c r="S142" s="17"/>
      <c r="T142" s="17"/>
      <c r="U142" s="17"/>
      <c r="V142" s="17"/>
    </row>
    <row r="143" spans="15:22" x14ac:dyDescent="0.25">
      <c r="O143" s="17"/>
      <c r="P143" s="17"/>
      <c r="Q143" s="17"/>
      <c r="R143" s="17"/>
      <c r="S143" s="17"/>
      <c r="T143" s="17"/>
      <c r="U143" s="17"/>
      <c r="V143" s="17"/>
    </row>
    <row r="144" spans="15:22" x14ac:dyDescent="0.25">
      <c r="O144" s="17"/>
      <c r="P144" s="17"/>
      <c r="Q144" s="17"/>
      <c r="R144" s="17"/>
      <c r="S144" s="17"/>
      <c r="T144" s="17"/>
      <c r="U144" s="17"/>
      <c r="V144" s="17"/>
    </row>
    <row r="145" spans="15:22" x14ac:dyDescent="0.25">
      <c r="O145" s="17"/>
      <c r="P145" s="17"/>
      <c r="Q145" s="17"/>
      <c r="R145" s="17"/>
      <c r="S145" s="17"/>
      <c r="T145" s="17"/>
      <c r="U145" s="17"/>
      <c r="V145" s="17"/>
    </row>
    <row r="146" spans="15:22" x14ac:dyDescent="0.25">
      <c r="O146" s="17"/>
      <c r="P146" s="17"/>
      <c r="Q146" s="17"/>
      <c r="R146" s="17"/>
      <c r="S146" s="17"/>
      <c r="T146" s="17"/>
      <c r="U146" s="17"/>
      <c r="V146" s="17"/>
    </row>
    <row r="147" spans="15:22" x14ac:dyDescent="0.25">
      <c r="O147" s="17"/>
      <c r="P147" s="17"/>
      <c r="Q147" s="17"/>
      <c r="R147" s="17"/>
      <c r="S147" s="17"/>
      <c r="T147" s="17"/>
      <c r="U147" s="17"/>
      <c r="V147" s="17"/>
    </row>
    <row r="148" spans="15:22" x14ac:dyDescent="0.25">
      <c r="O148" s="17"/>
      <c r="P148" s="17"/>
      <c r="Q148" s="17"/>
      <c r="R148" s="17"/>
      <c r="S148" s="17"/>
      <c r="T148" s="17"/>
      <c r="U148" s="17"/>
      <c r="V148" s="17"/>
    </row>
    <row r="149" spans="15:22" x14ac:dyDescent="0.25">
      <c r="O149" s="17"/>
      <c r="P149" s="17"/>
      <c r="Q149" s="17"/>
      <c r="R149" s="17"/>
      <c r="S149" s="17"/>
      <c r="T149" s="17"/>
      <c r="U149" s="17"/>
      <c r="V149" s="17"/>
    </row>
    <row r="150" spans="15:22" x14ac:dyDescent="0.25">
      <c r="O150" s="17"/>
      <c r="P150" s="17"/>
      <c r="Q150" s="17"/>
      <c r="R150" s="17"/>
      <c r="S150" s="17"/>
      <c r="T150" s="17"/>
      <c r="U150" s="17"/>
      <c r="V150" s="17"/>
    </row>
    <row r="151" spans="15:22" x14ac:dyDescent="0.25">
      <c r="O151" s="17"/>
      <c r="P151" s="17"/>
      <c r="Q151" s="17"/>
      <c r="R151" s="17"/>
      <c r="S151" s="17"/>
      <c r="T151" s="17"/>
      <c r="U151" s="17"/>
      <c r="V151" s="17"/>
    </row>
    <row r="152" spans="15:22" x14ac:dyDescent="0.25">
      <c r="O152" s="17"/>
      <c r="P152" s="17"/>
      <c r="Q152" s="17"/>
      <c r="R152" s="17"/>
      <c r="S152" s="17"/>
      <c r="T152" s="17"/>
      <c r="U152" s="17"/>
      <c r="V152" s="17"/>
    </row>
    <row r="153" spans="15:22" x14ac:dyDescent="0.25">
      <c r="O153" s="17"/>
      <c r="P153" s="17"/>
      <c r="Q153" s="17"/>
      <c r="R153" s="17"/>
      <c r="S153" s="17"/>
      <c r="T153" s="17"/>
      <c r="U153" s="17"/>
      <c r="V153" s="17"/>
    </row>
    <row r="154" spans="15:22" x14ac:dyDescent="0.25">
      <c r="O154" s="17"/>
      <c r="P154" s="17"/>
      <c r="Q154" s="17"/>
      <c r="R154" s="17"/>
      <c r="S154" s="17"/>
      <c r="T154" s="17"/>
      <c r="U154" s="17"/>
      <c r="V154" s="17"/>
    </row>
    <row r="155" spans="15:22" x14ac:dyDescent="0.25">
      <c r="O155" s="17"/>
      <c r="P155" s="17"/>
      <c r="Q155" s="17"/>
      <c r="R155" s="17"/>
      <c r="S155" s="17"/>
      <c r="T155" s="17"/>
      <c r="U155" s="17"/>
      <c r="V155" s="17"/>
    </row>
    <row r="156" spans="15:22" x14ac:dyDescent="0.25">
      <c r="O156" s="17"/>
      <c r="P156" s="17"/>
      <c r="Q156" s="17"/>
      <c r="R156" s="17"/>
      <c r="S156" s="17"/>
      <c r="T156" s="17"/>
      <c r="U156" s="17"/>
      <c r="V156" s="17"/>
    </row>
    <row r="157" spans="15:22" x14ac:dyDescent="0.25">
      <c r="O157" s="17"/>
      <c r="P157" s="17"/>
      <c r="Q157" s="17"/>
      <c r="R157" s="17"/>
      <c r="S157" s="17"/>
      <c r="T157" s="17"/>
      <c r="U157" s="17"/>
      <c r="V157" s="17"/>
    </row>
    <row r="158" spans="15:22" x14ac:dyDescent="0.25">
      <c r="O158" s="17"/>
      <c r="P158" s="17"/>
      <c r="Q158" s="17"/>
      <c r="R158" s="17"/>
      <c r="S158" s="17"/>
      <c r="T158" s="17"/>
      <c r="U158" s="17"/>
      <c r="V158" s="17"/>
    </row>
    <row r="159" spans="15:22" x14ac:dyDescent="0.25">
      <c r="O159" s="17"/>
      <c r="P159" s="17"/>
      <c r="Q159" s="17"/>
      <c r="R159" s="17"/>
      <c r="S159" s="17"/>
      <c r="T159" s="17"/>
      <c r="U159" s="17"/>
      <c r="V159" s="17"/>
    </row>
    <row r="160" spans="15:22" x14ac:dyDescent="0.25">
      <c r="O160" s="17"/>
      <c r="P160" s="17"/>
      <c r="Q160" s="17"/>
      <c r="R160" s="17"/>
      <c r="S160" s="17"/>
      <c r="T160" s="17"/>
      <c r="U160" s="17"/>
      <c r="V160" s="17"/>
    </row>
    <row r="161" spans="15:22" x14ac:dyDescent="0.25">
      <c r="O161" s="17"/>
      <c r="P161" s="17"/>
      <c r="Q161" s="17"/>
      <c r="R161" s="17"/>
      <c r="S161" s="17"/>
      <c r="T161" s="17"/>
      <c r="U161" s="17"/>
      <c r="V161" s="17"/>
    </row>
    <row r="162" spans="15:22" x14ac:dyDescent="0.25">
      <c r="O162" s="17"/>
      <c r="P162" s="17"/>
      <c r="Q162" s="17"/>
      <c r="R162" s="17"/>
      <c r="S162" s="17"/>
      <c r="T162" s="17"/>
      <c r="U162" s="17"/>
      <c r="V162" s="17"/>
    </row>
    <row r="163" spans="15:22" x14ac:dyDescent="0.25">
      <c r="O163" s="17"/>
      <c r="P163" s="17"/>
      <c r="Q163" s="17"/>
      <c r="R163" s="17"/>
      <c r="S163" s="17"/>
      <c r="T163" s="17"/>
      <c r="U163" s="17"/>
      <c r="V163" s="17"/>
    </row>
    <row r="164" spans="15:22" x14ac:dyDescent="0.25">
      <c r="O164" s="17"/>
      <c r="P164" s="17"/>
      <c r="Q164" s="17"/>
      <c r="R164" s="17"/>
      <c r="S164" s="17"/>
      <c r="T164" s="17"/>
      <c r="U164" s="17"/>
      <c r="V164" s="17"/>
    </row>
    <row r="165" spans="15:22" x14ac:dyDescent="0.25">
      <c r="O165" s="17"/>
      <c r="P165" s="17"/>
      <c r="Q165" s="17"/>
      <c r="R165" s="17"/>
      <c r="S165" s="17"/>
      <c r="T165" s="17"/>
      <c r="U165" s="17"/>
      <c r="V165" s="17"/>
    </row>
    <row r="166" spans="15:22" x14ac:dyDescent="0.25">
      <c r="O166" s="17"/>
      <c r="P166" s="17"/>
      <c r="Q166" s="17"/>
      <c r="R166" s="17"/>
      <c r="S166" s="17"/>
      <c r="T166" s="17"/>
      <c r="U166" s="17"/>
      <c r="V166" s="17"/>
    </row>
    <row r="167" spans="15:22" x14ac:dyDescent="0.25">
      <c r="O167" s="17"/>
      <c r="P167" s="17"/>
      <c r="Q167" s="17"/>
      <c r="R167" s="17"/>
      <c r="S167" s="17"/>
      <c r="T167" s="17"/>
      <c r="U167" s="17"/>
      <c r="V167" s="17"/>
    </row>
    <row r="168" spans="15:22" x14ac:dyDescent="0.25">
      <c r="O168" s="17"/>
      <c r="P168" s="17"/>
      <c r="Q168" s="17"/>
      <c r="R168" s="17"/>
      <c r="S168" s="17"/>
      <c r="T168" s="17"/>
      <c r="U168" s="17"/>
      <c r="V168" s="17"/>
    </row>
    <row r="169" spans="15:22" x14ac:dyDescent="0.25">
      <c r="O169" s="17"/>
      <c r="P169" s="17"/>
      <c r="Q169" s="17"/>
      <c r="R169" s="17"/>
      <c r="S169" s="17"/>
      <c r="T169" s="17"/>
      <c r="U169" s="17"/>
      <c r="V169" s="17"/>
    </row>
    <row r="170" spans="15:22" x14ac:dyDescent="0.25">
      <c r="O170" s="17"/>
      <c r="P170" s="17"/>
      <c r="Q170" s="17"/>
      <c r="R170" s="17"/>
      <c r="S170" s="17"/>
      <c r="T170" s="17"/>
      <c r="U170" s="17"/>
      <c r="V170" s="17"/>
    </row>
    <row r="171" spans="15:22" x14ac:dyDescent="0.25">
      <c r="O171" s="17"/>
      <c r="P171" s="17"/>
      <c r="Q171" s="17"/>
      <c r="R171" s="17"/>
      <c r="S171" s="17"/>
      <c r="T171" s="17"/>
      <c r="U171" s="17"/>
      <c r="V171" s="17"/>
    </row>
    <row r="172" spans="15:22" x14ac:dyDescent="0.25">
      <c r="O172" s="17"/>
      <c r="P172" s="17"/>
      <c r="Q172" s="17"/>
      <c r="R172" s="17"/>
      <c r="S172" s="17"/>
      <c r="T172" s="17"/>
      <c r="U172" s="17"/>
      <c r="V172" s="17"/>
    </row>
    <row r="173" spans="15:22" x14ac:dyDescent="0.25">
      <c r="O173" s="17"/>
      <c r="P173" s="17"/>
      <c r="Q173" s="17"/>
      <c r="R173" s="17"/>
      <c r="S173" s="17"/>
      <c r="T173" s="17"/>
      <c r="U173" s="17"/>
      <c r="V173" s="17"/>
    </row>
    <row r="174" spans="15:22" x14ac:dyDescent="0.25">
      <c r="O174" s="17"/>
      <c r="P174" s="17"/>
      <c r="Q174" s="17"/>
      <c r="R174" s="17"/>
      <c r="S174" s="17"/>
      <c r="T174" s="17"/>
      <c r="U174" s="17"/>
      <c r="V174" s="17"/>
    </row>
    <row r="175" spans="15:22" x14ac:dyDescent="0.25">
      <c r="O175" s="17"/>
      <c r="P175" s="17"/>
      <c r="Q175" s="17"/>
      <c r="R175" s="17"/>
      <c r="S175" s="17"/>
      <c r="T175" s="17"/>
      <c r="U175" s="17"/>
      <c r="V175" s="17"/>
    </row>
    <row r="176" spans="15:22" x14ac:dyDescent="0.25">
      <c r="O176" s="17"/>
      <c r="P176" s="17"/>
      <c r="Q176" s="17"/>
      <c r="R176" s="17"/>
      <c r="S176" s="17"/>
      <c r="T176" s="17"/>
      <c r="U176" s="17"/>
      <c r="V176" s="17"/>
    </row>
    <row r="177" spans="15:22" x14ac:dyDescent="0.25">
      <c r="O177" s="17"/>
      <c r="P177" s="17"/>
      <c r="Q177" s="17"/>
      <c r="R177" s="17"/>
      <c r="S177" s="17"/>
      <c r="T177" s="17"/>
      <c r="U177" s="17"/>
      <c r="V177" s="17"/>
    </row>
    <row r="178" spans="15:22" x14ac:dyDescent="0.25">
      <c r="O178" s="17"/>
      <c r="P178" s="17"/>
      <c r="Q178" s="17"/>
      <c r="R178" s="17"/>
      <c r="S178" s="17"/>
      <c r="T178" s="17"/>
      <c r="U178" s="17"/>
      <c r="V178" s="17"/>
    </row>
    <row r="179" spans="15:22" x14ac:dyDescent="0.25">
      <c r="O179" s="17"/>
      <c r="P179" s="17"/>
      <c r="Q179" s="17"/>
      <c r="R179" s="17"/>
      <c r="S179" s="17"/>
      <c r="T179" s="17"/>
      <c r="U179" s="17"/>
      <c r="V179" s="17"/>
    </row>
    <row r="180" spans="15:22" x14ac:dyDescent="0.25">
      <c r="O180" s="17"/>
      <c r="P180" s="17"/>
      <c r="Q180" s="17"/>
      <c r="R180" s="17"/>
      <c r="S180" s="17"/>
      <c r="T180" s="17"/>
      <c r="U180" s="17"/>
      <c r="V180" s="17"/>
    </row>
    <row r="181" spans="15:22" x14ac:dyDescent="0.25">
      <c r="O181" s="17"/>
      <c r="P181" s="17"/>
      <c r="Q181" s="17"/>
      <c r="R181" s="17"/>
      <c r="S181" s="17"/>
      <c r="T181" s="17"/>
      <c r="U181" s="17"/>
      <c r="V181" s="17"/>
    </row>
    <row r="182" spans="15:22" x14ac:dyDescent="0.25">
      <c r="O182" s="17"/>
      <c r="P182" s="17"/>
      <c r="Q182" s="17"/>
      <c r="R182" s="17"/>
      <c r="S182" s="17"/>
      <c r="T182" s="17"/>
      <c r="U182" s="17"/>
      <c r="V182" s="17"/>
    </row>
    <row r="183" spans="15:22" x14ac:dyDescent="0.25">
      <c r="O183" s="17"/>
      <c r="P183" s="17"/>
      <c r="Q183" s="17"/>
      <c r="R183" s="17"/>
      <c r="S183" s="17"/>
      <c r="T183" s="17"/>
      <c r="U183" s="17"/>
      <c r="V183" s="17"/>
    </row>
    <row r="184" spans="15:22" x14ac:dyDescent="0.25">
      <c r="O184" s="17"/>
      <c r="P184" s="17"/>
      <c r="Q184" s="17"/>
      <c r="R184" s="17"/>
      <c r="S184" s="17"/>
      <c r="T184" s="17"/>
      <c r="U184" s="17"/>
      <c r="V184" s="17"/>
    </row>
    <row r="185" spans="15:22" x14ac:dyDescent="0.25">
      <c r="O185" s="17"/>
      <c r="P185" s="17"/>
      <c r="Q185" s="17"/>
      <c r="R185" s="17"/>
      <c r="S185" s="17"/>
      <c r="T185" s="17"/>
      <c r="U185" s="17"/>
      <c r="V185" s="17"/>
    </row>
    <row r="186" spans="15:22" x14ac:dyDescent="0.25">
      <c r="O186" s="17"/>
      <c r="P186" s="17"/>
      <c r="Q186" s="17"/>
      <c r="R186" s="17"/>
      <c r="S186" s="17"/>
      <c r="T186" s="17"/>
      <c r="U186" s="17"/>
      <c r="V186" s="17"/>
    </row>
    <row r="187" spans="15:22" x14ac:dyDescent="0.25">
      <c r="O187" s="17"/>
      <c r="P187" s="17"/>
      <c r="Q187" s="17"/>
      <c r="R187" s="17"/>
      <c r="S187" s="17"/>
      <c r="T187" s="17"/>
      <c r="U187" s="17"/>
      <c r="V187" s="17"/>
    </row>
    <row r="188" spans="15:22" x14ac:dyDescent="0.25">
      <c r="O188" s="17"/>
      <c r="P188" s="17"/>
      <c r="Q188" s="17"/>
      <c r="R188" s="17"/>
      <c r="S188" s="17"/>
      <c r="T188" s="17"/>
      <c r="U188" s="17"/>
      <c r="V188" s="17"/>
    </row>
    <row r="189" spans="15:22" x14ac:dyDescent="0.25">
      <c r="O189" s="17"/>
      <c r="P189" s="17"/>
      <c r="Q189" s="17"/>
      <c r="R189" s="17"/>
      <c r="S189" s="17"/>
      <c r="T189" s="17"/>
      <c r="U189" s="17"/>
      <c r="V189" s="17"/>
    </row>
    <row r="190" spans="15:22" x14ac:dyDescent="0.25">
      <c r="O190" s="17"/>
      <c r="P190" s="17"/>
      <c r="Q190" s="17"/>
      <c r="R190" s="17"/>
      <c r="S190" s="17"/>
      <c r="T190" s="17"/>
      <c r="U190" s="17"/>
      <c r="V190" s="17"/>
    </row>
    <row r="191" spans="15:22" x14ac:dyDescent="0.25">
      <c r="O191" s="17"/>
      <c r="P191" s="17"/>
      <c r="Q191" s="17"/>
      <c r="R191" s="17"/>
      <c r="S191" s="17"/>
      <c r="T191" s="17"/>
      <c r="U191" s="17"/>
      <c r="V191" s="17"/>
    </row>
    <row r="192" spans="15:22" x14ac:dyDescent="0.25">
      <c r="O192" s="17"/>
      <c r="P192" s="17"/>
      <c r="Q192" s="17"/>
      <c r="R192" s="17"/>
      <c r="S192" s="17"/>
      <c r="T192" s="17"/>
      <c r="U192" s="17"/>
      <c r="V192" s="17"/>
    </row>
    <row r="193" spans="15:22" x14ac:dyDescent="0.25">
      <c r="O193" s="17"/>
      <c r="P193" s="17"/>
      <c r="Q193" s="17"/>
      <c r="R193" s="17"/>
      <c r="S193" s="17"/>
      <c r="T193" s="17"/>
      <c r="U193" s="17"/>
      <c r="V193" s="17"/>
    </row>
    <row r="194" spans="15:22" x14ac:dyDescent="0.25">
      <c r="O194" s="17"/>
      <c r="P194" s="17"/>
      <c r="Q194" s="17"/>
      <c r="R194" s="17"/>
      <c r="S194" s="17"/>
      <c r="T194" s="17"/>
      <c r="U194" s="17"/>
      <c r="V194" s="17"/>
    </row>
    <row r="195" spans="15:22" x14ac:dyDescent="0.25">
      <c r="O195" s="17"/>
      <c r="P195" s="17"/>
      <c r="Q195" s="17"/>
      <c r="R195" s="17"/>
      <c r="S195" s="17"/>
      <c r="T195" s="17"/>
      <c r="U195" s="17"/>
      <c r="V195" s="17"/>
    </row>
    <row r="196" spans="15:22" x14ac:dyDescent="0.25">
      <c r="O196" s="17"/>
      <c r="P196" s="17"/>
      <c r="Q196" s="17"/>
      <c r="R196" s="17"/>
      <c r="S196" s="17"/>
      <c r="T196" s="17"/>
      <c r="U196" s="17"/>
      <c r="V196" s="17"/>
    </row>
    <row r="197" spans="15:22" x14ac:dyDescent="0.25">
      <c r="O197" s="17"/>
      <c r="P197" s="17"/>
      <c r="Q197" s="17"/>
      <c r="R197" s="17"/>
      <c r="S197" s="17"/>
      <c r="T197" s="17"/>
      <c r="U197" s="17"/>
      <c r="V197" s="17"/>
    </row>
    <row r="198" spans="15:22" x14ac:dyDescent="0.25">
      <c r="O198" s="17"/>
      <c r="P198" s="17"/>
      <c r="Q198" s="17"/>
      <c r="R198" s="17"/>
      <c r="S198" s="17"/>
      <c r="T198" s="17"/>
      <c r="U198" s="17"/>
      <c r="V198" s="17"/>
    </row>
    <row r="199" spans="15:22" x14ac:dyDescent="0.25">
      <c r="O199" s="17"/>
      <c r="P199" s="17"/>
      <c r="Q199" s="17"/>
      <c r="R199" s="17"/>
      <c r="S199" s="17"/>
      <c r="T199" s="17"/>
      <c r="U199" s="17"/>
      <c r="V199" s="17"/>
    </row>
    <row r="200" spans="15:22" x14ac:dyDescent="0.25">
      <c r="O200" s="17"/>
      <c r="P200" s="17"/>
      <c r="Q200" s="17"/>
      <c r="R200" s="17"/>
      <c r="S200" s="17"/>
      <c r="T200" s="17"/>
      <c r="U200" s="17"/>
      <c r="V200" s="17"/>
    </row>
    <row r="201" spans="15:22" x14ac:dyDescent="0.25">
      <c r="O201" s="17"/>
      <c r="P201" s="17"/>
      <c r="Q201" s="17"/>
      <c r="R201" s="17"/>
      <c r="S201" s="17"/>
      <c r="T201" s="17"/>
      <c r="U201" s="17"/>
      <c r="V201" s="17"/>
    </row>
    <row r="202" spans="15:22" x14ac:dyDescent="0.25">
      <c r="O202" s="17"/>
      <c r="P202" s="17"/>
      <c r="Q202" s="17"/>
      <c r="R202" s="17"/>
      <c r="S202" s="17"/>
      <c r="T202" s="17"/>
      <c r="U202" s="17"/>
      <c r="V202" s="17"/>
    </row>
    <row r="203" spans="15:22" x14ac:dyDescent="0.25">
      <c r="O203" s="17"/>
      <c r="P203" s="17"/>
      <c r="Q203" s="17"/>
      <c r="R203" s="17"/>
      <c r="S203" s="17"/>
      <c r="T203" s="17"/>
      <c r="U203" s="17"/>
      <c r="V203" s="17"/>
    </row>
    <row r="204" spans="15:22" x14ac:dyDescent="0.25">
      <c r="O204" s="17"/>
      <c r="P204" s="17"/>
      <c r="Q204" s="17"/>
      <c r="R204" s="17"/>
      <c r="S204" s="17"/>
      <c r="T204" s="17"/>
      <c r="U204" s="17"/>
      <c r="V204" s="17"/>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90"/>
  <sheetViews>
    <sheetView showGridLines="0" showRowColHeaders="0" topLeftCell="A7" workbookViewId="0">
      <selection activeCell="I6" sqref="I6"/>
    </sheetView>
  </sheetViews>
  <sheetFormatPr defaultRowHeight="15" x14ac:dyDescent="0.25"/>
  <cols>
    <col min="1" max="9" width="9.140625" style="243"/>
    <col min="10" max="10" width="16.28515625" style="243" customWidth="1"/>
    <col min="11" max="11" width="27.28515625" style="243" customWidth="1"/>
    <col min="12" max="16384" width="9.140625" style="243"/>
  </cols>
  <sheetData>
    <row r="1" spans="1:27" s="232" customFormat="1" ht="33.75" x14ac:dyDescent="0.5">
      <c r="G1" s="233" t="s">
        <v>263</v>
      </c>
      <c r="J1" s="234"/>
      <c r="K1" s="234"/>
      <c r="L1" s="234"/>
      <c r="M1" s="234"/>
      <c r="N1" s="234"/>
      <c r="O1" s="234"/>
      <c r="P1" s="234"/>
      <c r="Q1" s="234"/>
      <c r="R1" s="234"/>
      <c r="S1" s="234"/>
      <c r="T1" s="234"/>
      <c r="U1" s="234"/>
      <c r="V1" s="234"/>
      <c r="W1" s="234"/>
      <c r="X1" s="234"/>
      <c r="Y1" s="234"/>
      <c r="Z1" s="234"/>
      <c r="AA1" s="234"/>
    </row>
    <row r="2" spans="1:27" s="232" customFormat="1" ht="15" customHeight="1" x14ac:dyDescent="0.4">
      <c r="A2" s="235"/>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row>
    <row r="3" spans="1:27" s="236" customFormat="1" ht="26.25" x14ac:dyDescent="0.4">
      <c r="B3" s="237" t="s">
        <v>225</v>
      </c>
      <c r="C3" s="238"/>
      <c r="D3" s="238"/>
      <c r="E3" s="238"/>
      <c r="F3" s="238"/>
      <c r="G3" s="238"/>
      <c r="H3" s="238"/>
      <c r="I3" s="238"/>
      <c r="J3" s="238"/>
      <c r="K3" s="238"/>
      <c r="L3" s="238"/>
      <c r="M3" s="238"/>
      <c r="N3" s="238"/>
      <c r="O3" s="238"/>
      <c r="P3" s="238"/>
      <c r="Q3" s="238"/>
      <c r="R3" s="238"/>
      <c r="S3" s="238"/>
      <c r="T3" s="238"/>
      <c r="U3" s="238"/>
      <c r="V3" s="238"/>
      <c r="W3" s="238"/>
      <c r="X3" s="238"/>
      <c r="Y3" s="238"/>
      <c r="Z3" s="238"/>
      <c r="AA3" s="238"/>
    </row>
    <row r="4" spans="1:27" s="236" customFormat="1" ht="5.25" customHeight="1" x14ac:dyDescent="0.3">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A4" s="238"/>
    </row>
    <row r="5" spans="1:27" s="236" customFormat="1" ht="18" customHeight="1" x14ac:dyDescent="0.35">
      <c r="B5" s="239" t="s">
        <v>175</v>
      </c>
      <c r="C5" s="239"/>
      <c r="D5" s="239"/>
      <c r="E5" s="239"/>
      <c r="F5" s="239"/>
      <c r="G5" s="239"/>
      <c r="H5" s="239"/>
      <c r="I5" s="239"/>
      <c r="J5" s="239"/>
      <c r="K5" s="239"/>
      <c r="L5" s="239"/>
      <c r="M5" s="239"/>
      <c r="N5" s="239"/>
      <c r="O5" s="239"/>
      <c r="P5" s="239"/>
      <c r="Q5" s="239"/>
      <c r="R5" s="239"/>
      <c r="S5" s="239"/>
      <c r="T5" s="239"/>
      <c r="U5" s="239"/>
      <c r="V5" s="238"/>
      <c r="W5" s="238"/>
      <c r="X5" s="238"/>
      <c r="Y5" s="238"/>
      <c r="Z5" s="238"/>
      <c r="AA5" s="238"/>
    </row>
    <row r="6" spans="1:27" s="236" customFormat="1" ht="4.5" customHeight="1" x14ac:dyDescent="0.35">
      <c r="B6" s="239"/>
      <c r="C6" s="239"/>
      <c r="D6" s="239"/>
      <c r="E6" s="239"/>
      <c r="F6" s="239"/>
      <c r="G6" s="239"/>
      <c r="H6" s="239"/>
      <c r="I6" s="239"/>
      <c r="J6" s="239"/>
      <c r="K6" s="239"/>
      <c r="L6" s="239"/>
      <c r="M6" s="239"/>
      <c r="N6" s="239"/>
      <c r="O6" s="239"/>
      <c r="P6" s="239"/>
      <c r="Q6" s="239"/>
      <c r="R6" s="239"/>
      <c r="S6" s="239"/>
      <c r="T6" s="239"/>
      <c r="U6" s="239"/>
      <c r="V6" s="238"/>
      <c r="W6" s="238"/>
      <c r="X6" s="238"/>
      <c r="Y6" s="238"/>
      <c r="Z6" s="238"/>
      <c r="AA6" s="238"/>
    </row>
    <row r="7" spans="1:27" s="236" customFormat="1" ht="21" x14ac:dyDescent="0.35">
      <c r="B7" s="239" t="s">
        <v>176</v>
      </c>
      <c r="C7" s="239"/>
      <c r="D7" s="239"/>
      <c r="E7" s="239"/>
      <c r="F7" s="239"/>
      <c r="G7" s="239"/>
      <c r="H7" s="239"/>
      <c r="I7" s="239"/>
      <c r="J7" s="239"/>
      <c r="K7" s="239"/>
      <c r="L7" s="239"/>
      <c r="M7" s="239"/>
      <c r="N7" s="239"/>
      <c r="O7" s="239"/>
      <c r="P7" s="239"/>
      <c r="Q7" s="239"/>
      <c r="R7" s="239"/>
      <c r="S7" s="239"/>
      <c r="T7" s="239"/>
      <c r="U7" s="239"/>
      <c r="V7" s="238"/>
      <c r="W7" s="238"/>
      <c r="X7" s="238"/>
      <c r="Y7" s="238"/>
      <c r="Z7" s="238"/>
      <c r="AA7" s="238"/>
    </row>
    <row r="8" spans="1:27" s="236" customFormat="1" ht="4.5" customHeight="1" x14ac:dyDescent="0.35">
      <c r="B8" s="239"/>
      <c r="C8" s="239"/>
      <c r="D8" s="239"/>
      <c r="E8" s="239"/>
      <c r="F8" s="239"/>
      <c r="G8" s="239"/>
      <c r="H8" s="239"/>
      <c r="I8" s="239"/>
      <c r="J8" s="239"/>
      <c r="K8" s="239"/>
      <c r="L8" s="239"/>
      <c r="M8" s="239"/>
      <c r="N8" s="239"/>
      <c r="O8" s="239"/>
      <c r="P8" s="239"/>
      <c r="Q8" s="239"/>
      <c r="R8" s="239"/>
      <c r="S8" s="239"/>
      <c r="T8" s="239"/>
      <c r="U8" s="239"/>
      <c r="V8" s="238"/>
      <c r="W8" s="238"/>
      <c r="X8" s="238"/>
      <c r="Y8" s="238"/>
      <c r="Z8" s="238"/>
      <c r="AA8" s="238"/>
    </row>
    <row r="9" spans="1:27" s="236" customFormat="1" ht="21" x14ac:dyDescent="0.35">
      <c r="B9" s="239" t="s">
        <v>240</v>
      </c>
      <c r="C9" s="239"/>
      <c r="D9" s="239"/>
      <c r="E9" s="239"/>
      <c r="F9" s="239"/>
      <c r="G9" s="239"/>
      <c r="H9" s="239"/>
      <c r="I9" s="239"/>
      <c r="J9" s="239"/>
      <c r="K9" s="239"/>
      <c r="L9" s="239"/>
      <c r="M9" s="239"/>
      <c r="N9" s="239"/>
      <c r="O9" s="239"/>
      <c r="P9" s="239"/>
      <c r="Q9" s="239"/>
      <c r="R9" s="239"/>
      <c r="S9" s="239"/>
      <c r="T9" s="239"/>
      <c r="U9" s="239"/>
      <c r="V9" s="238"/>
      <c r="W9" s="238"/>
      <c r="X9" s="238"/>
      <c r="Y9" s="238"/>
      <c r="Z9" s="238"/>
      <c r="AA9" s="238"/>
    </row>
    <row r="10" spans="1:27" s="236" customFormat="1" ht="21" x14ac:dyDescent="0.35">
      <c r="B10" s="239" t="s">
        <v>205</v>
      </c>
      <c r="C10" s="239"/>
      <c r="D10" s="239"/>
      <c r="E10" s="239"/>
      <c r="F10" s="239"/>
      <c r="G10" s="239"/>
      <c r="H10" s="239"/>
      <c r="I10" s="239"/>
      <c r="J10" s="239"/>
      <c r="K10" s="239"/>
      <c r="L10" s="239"/>
      <c r="M10" s="239"/>
      <c r="N10" s="239"/>
      <c r="O10" s="239"/>
      <c r="P10" s="239"/>
      <c r="Q10" s="239"/>
      <c r="R10" s="239"/>
      <c r="S10" s="239"/>
      <c r="T10" s="239"/>
      <c r="U10" s="239"/>
      <c r="V10" s="238"/>
      <c r="W10" s="238"/>
      <c r="X10" s="238"/>
      <c r="Y10" s="238"/>
      <c r="Z10" s="238"/>
      <c r="AA10" s="238"/>
    </row>
    <row r="11" spans="1:27" s="236" customFormat="1" ht="21" x14ac:dyDescent="0.35">
      <c r="B11" s="239" t="s">
        <v>241</v>
      </c>
      <c r="C11" s="239"/>
      <c r="D11" s="239"/>
      <c r="E11" s="239"/>
      <c r="F11" s="239"/>
      <c r="G11" s="239"/>
      <c r="H11" s="239"/>
      <c r="I11" s="239"/>
      <c r="J11" s="239"/>
      <c r="K11" s="239"/>
      <c r="L11" s="239"/>
      <c r="M11" s="239"/>
      <c r="N11" s="239"/>
      <c r="O11" s="239"/>
      <c r="P11" s="239"/>
      <c r="Q11" s="239"/>
      <c r="R11" s="239"/>
      <c r="S11" s="239"/>
      <c r="T11" s="239"/>
      <c r="U11" s="239"/>
      <c r="V11" s="238"/>
      <c r="W11" s="238"/>
      <c r="X11" s="238"/>
      <c r="Y11" s="238"/>
      <c r="Z11" s="238"/>
      <c r="AA11" s="238"/>
    </row>
    <row r="12" spans="1:27" s="236" customFormat="1" ht="4.5" customHeight="1" x14ac:dyDescent="0.35">
      <c r="B12" s="239"/>
      <c r="C12" s="239"/>
      <c r="D12" s="239"/>
      <c r="E12" s="239"/>
      <c r="F12" s="239"/>
      <c r="G12" s="239"/>
      <c r="H12" s="239"/>
      <c r="I12" s="239"/>
      <c r="J12" s="239"/>
      <c r="K12" s="239"/>
      <c r="L12" s="239"/>
      <c r="M12" s="239"/>
      <c r="N12" s="239"/>
      <c r="O12" s="239"/>
      <c r="P12" s="239"/>
      <c r="Q12" s="239"/>
      <c r="R12" s="239"/>
      <c r="S12" s="239"/>
      <c r="T12" s="239"/>
      <c r="U12" s="239"/>
      <c r="V12" s="238"/>
      <c r="W12" s="238"/>
      <c r="X12" s="238"/>
      <c r="Y12" s="238"/>
      <c r="Z12" s="238"/>
      <c r="AA12" s="238"/>
    </row>
    <row r="13" spans="1:27" s="236" customFormat="1" ht="21" x14ac:dyDescent="0.35">
      <c r="B13" s="239" t="s">
        <v>177</v>
      </c>
      <c r="C13" s="239"/>
      <c r="D13" s="239"/>
      <c r="E13" s="239"/>
      <c r="F13" s="239"/>
      <c r="G13" s="239"/>
      <c r="H13" s="239"/>
      <c r="I13" s="239"/>
      <c r="J13" s="239"/>
      <c r="K13" s="239"/>
      <c r="L13" s="239"/>
      <c r="M13" s="239"/>
      <c r="N13" s="239"/>
      <c r="O13" s="239"/>
      <c r="P13" s="239"/>
      <c r="Q13" s="239"/>
      <c r="R13" s="239"/>
      <c r="S13" s="239"/>
      <c r="T13" s="239"/>
      <c r="U13" s="239"/>
      <c r="V13" s="238"/>
      <c r="W13" s="238"/>
      <c r="X13" s="238"/>
      <c r="Y13" s="238"/>
      <c r="Z13" s="238"/>
      <c r="AA13" s="238"/>
    </row>
    <row r="14" spans="1:27" s="236" customFormat="1" ht="4.5" customHeight="1" x14ac:dyDescent="0.35">
      <c r="B14" s="239"/>
      <c r="C14" s="239"/>
      <c r="D14" s="239"/>
      <c r="E14" s="239"/>
      <c r="F14" s="239"/>
      <c r="G14" s="239"/>
      <c r="H14" s="239"/>
      <c r="I14" s="239"/>
      <c r="J14" s="239"/>
      <c r="K14" s="239"/>
      <c r="L14" s="239"/>
      <c r="M14" s="239"/>
      <c r="N14" s="239"/>
      <c r="O14" s="239"/>
      <c r="P14" s="239"/>
      <c r="Q14" s="239"/>
      <c r="R14" s="239"/>
      <c r="S14" s="239"/>
      <c r="T14" s="239"/>
      <c r="U14" s="239"/>
      <c r="V14" s="238"/>
      <c r="W14" s="238"/>
      <c r="X14" s="238"/>
      <c r="Y14" s="238"/>
      <c r="Z14" s="238"/>
      <c r="AA14" s="238"/>
    </row>
    <row r="15" spans="1:27" s="236" customFormat="1" ht="21" x14ac:dyDescent="0.35">
      <c r="B15" s="239" t="s">
        <v>178</v>
      </c>
      <c r="C15" s="239"/>
      <c r="D15" s="239"/>
      <c r="E15" s="239"/>
      <c r="F15" s="239"/>
      <c r="G15" s="239"/>
      <c r="H15" s="239"/>
      <c r="I15" s="239"/>
      <c r="J15" s="239"/>
      <c r="K15" s="239"/>
      <c r="L15" s="239"/>
      <c r="M15" s="239"/>
      <c r="N15" s="239"/>
      <c r="O15" s="239"/>
      <c r="P15" s="239"/>
      <c r="Q15" s="239"/>
      <c r="R15" s="239"/>
      <c r="S15" s="239"/>
      <c r="T15" s="239"/>
      <c r="U15" s="239"/>
      <c r="V15" s="238"/>
      <c r="W15" s="238"/>
      <c r="X15" s="238"/>
      <c r="Y15" s="238"/>
      <c r="Z15" s="238"/>
      <c r="AA15" s="238"/>
    </row>
    <row r="16" spans="1:27" s="236" customFormat="1" ht="3.75" customHeight="1" x14ac:dyDescent="0.35">
      <c r="B16" s="239"/>
      <c r="C16" s="239"/>
      <c r="D16" s="239"/>
      <c r="E16" s="239"/>
      <c r="F16" s="239"/>
      <c r="G16" s="239"/>
      <c r="H16" s="239"/>
      <c r="I16" s="239"/>
      <c r="J16" s="239"/>
      <c r="K16" s="239"/>
      <c r="L16" s="239"/>
      <c r="M16" s="239"/>
      <c r="N16" s="239"/>
      <c r="O16" s="239"/>
      <c r="P16" s="239"/>
      <c r="Q16" s="239"/>
      <c r="R16" s="239"/>
      <c r="S16" s="239"/>
      <c r="T16" s="239"/>
      <c r="U16" s="239"/>
      <c r="V16" s="238"/>
      <c r="W16" s="238"/>
      <c r="X16" s="238"/>
      <c r="Y16" s="238"/>
      <c r="Z16" s="238"/>
      <c r="AA16" s="238"/>
    </row>
    <row r="17" spans="2:27" s="236" customFormat="1" ht="21" x14ac:dyDescent="0.35">
      <c r="B17" s="239" t="s">
        <v>264</v>
      </c>
      <c r="C17" s="239"/>
      <c r="D17" s="239"/>
      <c r="E17" s="239"/>
      <c r="F17" s="239"/>
      <c r="G17" s="239"/>
      <c r="H17" s="239"/>
      <c r="I17" s="239"/>
      <c r="J17" s="239"/>
      <c r="K17" s="239"/>
      <c r="L17" s="239"/>
      <c r="M17" s="239"/>
      <c r="N17" s="239"/>
      <c r="O17" s="239"/>
      <c r="P17" s="239"/>
      <c r="Q17" s="239"/>
      <c r="R17" s="239"/>
      <c r="S17" s="239"/>
      <c r="T17" s="239"/>
      <c r="U17" s="239"/>
      <c r="V17" s="238"/>
      <c r="W17" s="238"/>
      <c r="X17" s="238"/>
      <c r="Y17" s="238"/>
      <c r="Z17" s="238"/>
      <c r="AA17" s="238"/>
    </row>
    <row r="18" spans="2:27" s="236" customFormat="1" ht="21" x14ac:dyDescent="0.35">
      <c r="B18" s="239" t="s">
        <v>265</v>
      </c>
      <c r="C18" s="239"/>
      <c r="D18" s="239"/>
      <c r="E18" s="239"/>
      <c r="F18" s="239"/>
      <c r="G18" s="239"/>
      <c r="H18" s="239"/>
      <c r="I18" s="239"/>
      <c r="J18" s="239"/>
      <c r="K18" s="239"/>
      <c r="L18" s="239"/>
      <c r="M18" s="239"/>
      <c r="N18" s="239"/>
      <c r="O18" s="239"/>
      <c r="P18" s="239"/>
      <c r="Q18" s="239"/>
      <c r="R18" s="239"/>
      <c r="S18" s="239"/>
      <c r="T18" s="239"/>
      <c r="U18" s="239"/>
      <c r="V18" s="238"/>
      <c r="W18" s="238"/>
      <c r="X18" s="238"/>
      <c r="Y18" s="238"/>
      <c r="Z18" s="238"/>
      <c r="AA18" s="238"/>
    </row>
    <row r="19" spans="2:27" s="236" customFormat="1" ht="21" x14ac:dyDescent="0.35">
      <c r="B19" s="239" t="s">
        <v>266</v>
      </c>
      <c r="C19" s="239"/>
      <c r="D19" s="239"/>
      <c r="E19" s="239"/>
      <c r="F19" s="239"/>
      <c r="G19" s="239"/>
      <c r="H19" s="239"/>
      <c r="I19" s="239"/>
      <c r="J19" s="239"/>
      <c r="K19" s="239"/>
      <c r="L19" s="239"/>
      <c r="M19" s="239"/>
      <c r="N19" s="239"/>
      <c r="O19" s="239"/>
      <c r="P19" s="239"/>
      <c r="Q19" s="239"/>
      <c r="R19" s="239"/>
      <c r="S19" s="239"/>
      <c r="T19" s="239"/>
      <c r="U19" s="239"/>
      <c r="V19" s="238"/>
      <c r="W19" s="238"/>
      <c r="X19" s="238"/>
      <c r="Y19" s="238"/>
      <c r="Z19" s="238"/>
      <c r="AA19" s="238"/>
    </row>
    <row r="20" spans="2:27" s="236" customFormat="1" ht="0.75" customHeight="1" x14ac:dyDescent="0.35">
      <c r="B20" s="239"/>
      <c r="C20" s="239"/>
      <c r="D20" s="239"/>
      <c r="E20" s="239"/>
      <c r="F20" s="239"/>
      <c r="G20" s="239"/>
      <c r="H20" s="239"/>
      <c r="I20" s="239"/>
      <c r="J20" s="239"/>
      <c r="K20" s="239"/>
      <c r="L20" s="239"/>
      <c r="M20" s="239"/>
      <c r="N20" s="239"/>
      <c r="O20" s="239"/>
      <c r="P20" s="239"/>
      <c r="Q20" s="239"/>
      <c r="R20" s="239"/>
      <c r="S20" s="239"/>
      <c r="T20" s="239"/>
      <c r="U20" s="239"/>
      <c r="V20" s="238"/>
      <c r="W20" s="238"/>
      <c r="X20" s="238"/>
      <c r="Y20" s="238"/>
      <c r="Z20" s="238"/>
      <c r="AA20" s="238"/>
    </row>
    <row r="21" spans="2:27" s="236" customFormat="1" ht="21" x14ac:dyDescent="0.35">
      <c r="B21" s="239" t="s">
        <v>206</v>
      </c>
      <c r="C21" s="239"/>
      <c r="D21" s="239"/>
      <c r="E21" s="239"/>
      <c r="F21" s="239"/>
      <c r="G21" s="239"/>
      <c r="H21" s="239"/>
      <c r="I21" s="239"/>
      <c r="J21" s="239"/>
      <c r="K21" s="239"/>
      <c r="L21" s="239"/>
      <c r="M21" s="239"/>
      <c r="N21" s="239"/>
      <c r="O21" s="239"/>
      <c r="P21" s="239"/>
      <c r="Q21" s="239"/>
      <c r="R21" s="239"/>
      <c r="S21" s="239"/>
      <c r="T21" s="239"/>
      <c r="U21" s="239"/>
      <c r="V21" s="238"/>
      <c r="W21" s="238"/>
      <c r="X21" s="238"/>
      <c r="Y21" s="238"/>
      <c r="Z21" s="238"/>
      <c r="AA21" s="238"/>
    </row>
    <row r="22" spans="2:27" s="236" customFormat="1" ht="21" x14ac:dyDescent="0.35">
      <c r="B22" s="239" t="s">
        <v>179</v>
      </c>
      <c r="C22" s="239"/>
      <c r="D22" s="239"/>
      <c r="E22" s="239"/>
      <c r="F22" s="239"/>
      <c r="G22" s="239"/>
      <c r="H22" s="239"/>
      <c r="I22" s="239"/>
      <c r="J22" s="239"/>
      <c r="K22" s="239"/>
      <c r="L22" s="239"/>
      <c r="M22" s="239"/>
      <c r="N22" s="239"/>
      <c r="O22" s="239"/>
      <c r="P22" s="239"/>
      <c r="Q22" s="239"/>
      <c r="R22" s="239"/>
      <c r="S22" s="239"/>
      <c r="T22" s="239"/>
      <c r="U22" s="239"/>
      <c r="V22" s="238"/>
      <c r="W22" s="238"/>
      <c r="X22" s="238"/>
      <c r="Y22" s="238"/>
      <c r="Z22" s="238"/>
      <c r="AA22" s="238"/>
    </row>
    <row r="23" spans="2:27" s="236" customFormat="1" ht="6" customHeight="1" x14ac:dyDescent="0.35">
      <c r="B23" s="239"/>
      <c r="C23" s="239"/>
      <c r="D23" s="239"/>
      <c r="E23" s="239"/>
      <c r="F23" s="239"/>
      <c r="G23" s="239"/>
      <c r="H23" s="239"/>
      <c r="I23" s="239"/>
      <c r="J23" s="239"/>
      <c r="K23" s="239"/>
      <c r="L23" s="239"/>
      <c r="M23" s="239"/>
      <c r="N23" s="239"/>
      <c r="O23" s="239"/>
      <c r="P23" s="239"/>
      <c r="Q23" s="239"/>
      <c r="R23" s="239"/>
      <c r="S23" s="239"/>
      <c r="T23" s="239"/>
      <c r="U23" s="239"/>
      <c r="V23" s="238"/>
      <c r="W23" s="238"/>
      <c r="X23" s="238"/>
      <c r="Y23" s="238"/>
      <c r="Z23" s="238"/>
      <c r="AA23" s="238"/>
    </row>
    <row r="24" spans="2:27" s="236" customFormat="1" ht="21" x14ac:dyDescent="0.35">
      <c r="B24" s="239" t="s">
        <v>207</v>
      </c>
      <c r="C24" s="239"/>
      <c r="D24" s="239"/>
      <c r="E24" s="239"/>
      <c r="F24" s="239"/>
      <c r="G24" s="239"/>
      <c r="H24" s="239"/>
      <c r="I24" s="239"/>
      <c r="J24" s="239"/>
      <c r="K24" s="239"/>
      <c r="L24" s="239"/>
      <c r="M24" s="239"/>
      <c r="N24" s="239"/>
      <c r="O24" s="239"/>
      <c r="P24" s="239"/>
      <c r="Q24" s="239"/>
      <c r="R24" s="239"/>
      <c r="S24" s="239"/>
      <c r="T24" s="239"/>
      <c r="U24" s="239"/>
      <c r="V24" s="238"/>
      <c r="W24" s="238"/>
      <c r="X24" s="238"/>
      <c r="Y24" s="238"/>
      <c r="Z24" s="238"/>
      <c r="AA24" s="238"/>
    </row>
    <row r="25" spans="2:27" s="236" customFormat="1" ht="21" x14ac:dyDescent="0.35">
      <c r="B25" s="239" t="s">
        <v>208</v>
      </c>
      <c r="C25" s="239"/>
      <c r="D25" s="239"/>
      <c r="E25" s="239"/>
      <c r="F25" s="239"/>
      <c r="G25" s="239"/>
      <c r="H25" s="239"/>
      <c r="I25" s="239"/>
      <c r="J25" s="239"/>
      <c r="K25" s="239"/>
      <c r="L25" s="239"/>
      <c r="M25" s="239"/>
      <c r="N25" s="239"/>
      <c r="O25" s="239"/>
      <c r="P25" s="239"/>
      <c r="Q25" s="239"/>
      <c r="R25" s="239"/>
      <c r="S25" s="239"/>
      <c r="T25" s="239"/>
      <c r="U25" s="239"/>
    </row>
    <row r="26" spans="2:27" s="236" customFormat="1" ht="21" x14ac:dyDescent="0.35">
      <c r="B26" s="239" t="s">
        <v>209</v>
      </c>
      <c r="C26" s="239"/>
      <c r="D26" s="239"/>
      <c r="E26" s="239"/>
      <c r="F26" s="239"/>
      <c r="G26" s="239"/>
      <c r="H26" s="239"/>
      <c r="I26" s="239"/>
      <c r="J26" s="239"/>
      <c r="K26" s="239"/>
      <c r="L26" s="239"/>
      <c r="M26" s="239"/>
      <c r="N26" s="239"/>
      <c r="O26" s="239"/>
      <c r="P26" s="239"/>
      <c r="Q26" s="239"/>
      <c r="R26" s="239"/>
      <c r="S26" s="239"/>
      <c r="T26" s="239"/>
      <c r="U26" s="239"/>
    </row>
    <row r="27" spans="2:27" s="236" customFormat="1" ht="21" x14ac:dyDescent="0.35">
      <c r="B27" s="239" t="s">
        <v>211</v>
      </c>
      <c r="C27" s="239"/>
      <c r="D27" s="239"/>
      <c r="E27" s="239"/>
      <c r="F27" s="239"/>
      <c r="G27" s="239"/>
      <c r="H27" s="239"/>
      <c r="I27" s="239"/>
      <c r="J27" s="239"/>
      <c r="K27" s="239"/>
      <c r="L27" s="239"/>
      <c r="M27" s="239"/>
      <c r="N27" s="239"/>
      <c r="O27" s="239"/>
      <c r="P27" s="239"/>
      <c r="Q27" s="239"/>
      <c r="R27" s="239"/>
      <c r="S27" s="239"/>
      <c r="T27" s="239"/>
      <c r="U27" s="239"/>
    </row>
    <row r="28" spans="2:27" s="236" customFormat="1" ht="3.75" customHeight="1" x14ac:dyDescent="0.35">
      <c r="B28" s="239"/>
      <c r="C28" s="239"/>
      <c r="D28" s="239"/>
      <c r="E28" s="239"/>
      <c r="F28" s="239"/>
      <c r="G28" s="239"/>
      <c r="H28" s="239"/>
      <c r="I28" s="239"/>
      <c r="J28" s="239"/>
      <c r="K28" s="239"/>
      <c r="L28" s="239"/>
      <c r="M28" s="239"/>
      <c r="N28" s="239"/>
      <c r="O28" s="239"/>
      <c r="P28" s="239"/>
      <c r="Q28" s="239"/>
      <c r="R28" s="239"/>
      <c r="S28" s="239"/>
      <c r="T28" s="239"/>
      <c r="U28" s="239"/>
    </row>
    <row r="29" spans="2:27" s="236" customFormat="1" ht="21" x14ac:dyDescent="0.35">
      <c r="B29" s="239" t="s">
        <v>210</v>
      </c>
      <c r="C29" s="239"/>
      <c r="D29" s="239"/>
      <c r="E29" s="239"/>
      <c r="F29" s="239"/>
      <c r="G29" s="239"/>
      <c r="H29" s="239"/>
      <c r="I29" s="239"/>
      <c r="J29" s="239"/>
      <c r="K29" s="239"/>
      <c r="L29" s="239"/>
      <c r="M29" s="239"/>
      <c r="N29" s="239"/>
      <c r="O29" s="239"/>
      <c r="P29" s="239"/>
      <c r="Q29" s="239"/>
      <c r="R29" s="239"/>
      <c r="S29" s="239"/>
      <c r="T29" s="239"/>
      <c r="U29" s="239"/>
    </row>
    <row r="30" spans="2:27" s="236" customFormat="1" ht="4.5" customHeight="1" x14ac:dyDescent="0.35">
      <c r="B30" s="239"/>
      <c r="C30" s="239"/>
      <c r="D30" s="239"/>
      <c r="E30" s="239"/>
      <c r="F30" s="239"/>
      <c r="G30" s="239"/>
      <c r="H30" s="239"/>
      <c r="I30" s="239"/>
      <c r="J30" s="239"/>
      <c r="K30" s="239"/>
      <c r="L30" s="239"/>
      <c r="M30" s="239"/>
      <c r="N30" s="239"/>
      <c r="O30" s="239"/>
      <c r="P30" s="239"/>
      <c r="Q30" s="239"/>
      <c r="R30" s="239"/>
      <c r="S30" s="239"/>
      <c r="T30" s="239"/>
      <c r="U30" s="239"/>
    </row>
    <row r="31" spans="2:27" s="236" customFormat="1" ht="18" customHeight="1" x14ac:dyDescent="0.35">
      <c r="B31" s="240" t="s">
        <v>242</v>
      </c>
      <c r="C31" s="239"/>
      <c r="D31" s="239"/>
      <c r="E31" s="239"/>
      <c r="F31" s="239"/>
      <c r="G31" s="239"/>
      <c r="H31" s="239"/>
      <c r="I31" s="239"/>
      <c r="J31" s="239"/>
      <c r="K31" s="239"/>
      <c r="L31" s="239"/>
      <c r="M31" s="239"/>
      <c r="N31" s="239"/>
      <c r="O31" s="239"/>
      <c r="P31" s="239"/>
      <c r="Q31" s="239"/>
      <c r="R31" s="239"/>
      <c r="S31" s="239"/>
      <c r="T31" s="239"/>
      <c r="U31" s="239"/>
    </row>
    <row r="32" spans="2:27" s="236" customFormat="1" ht="21" x14ac:dyDescent="0.35">
      <c r="B32" s="239" t="s">
        <v>212</v>
      </c>
      <c r="C32" s="239"/>
      <c r="D32" s="239"/>
      <c r="E32" s="239"/>
      <c r="F32" s="239"/>
      <c r="G32" s="239"/>
      <c r="H32" s="239"/>
      <c r="I32" s="239"/>
      <c r="J32" s="239"/>
      <c r="K32" s="239"/>
      <c r="L32" s="239"/>
      <c r="M32" s="239"/>
      <c r="N32" s="239"/>
      <c r="O32" s="239"/>
      <c r="P32" s="239"/>
      <c r="Q32" s="239"/>
      <c r="R32" s="239"/>
      <c r="S32" s="239"/>
      <c r="T32" s="239"/>
      <c r="U32" s="239"/>
    </row>
    <row r="33" spans="2:21" s="236" customFormat="1" ht="12" customHeight="1" x14ac:dyDescent="0.35">
      <c r="B33" s="239"/>
      <c r="C33" s="239"/>
      <c r="D33" s="239"/>
      <c r="E33" s="239"/>
      <c r="F33" s="239"/>
      <c r="G33" s="239"/>
      <c r="H33" s="239"/>
      <c r="I33" s="239"/>
      <c r="J33" s="239"/>
      <c r="K33" s="239"/>
      <c r="L33" s="239"/>
      <c r="M33" s="239"/>
      <c r="N33" s="239"/>
      <c r="O33" s="239"/>
      <c r="P33" s="239"/>
      <c r="Q33" s="239"/>
      <c r="R33" s="239"/>
      <c r="S33" s="239"/>
      <c r="T33" s="239"/>
      <c r="U33" s="239"/>
    </row>
    <row r="34" spans="2:21" s="236" customFormat="1" ht="23.25" x14ac:dyDescent="0.35">
      <c r="B34" s="239" t="s">
        <v>234</v>
      </c>
      <c r="C34" s="239"/>
      <c r="D34" s="239"/>
      <c r="E34" s="239"/>
      <c r="F34" s="239"/>
      <c r="G34" s="239"/>
      <c r="H34" s="239"/>
      <c r="I34" s="239"/>
      <c r="J34" s="239"/>
      <c r="K34" s="241" t="s">
        <v>213</v>
      </c>
      <c r="L34" s="239"/>
      <c r="M34" s="239"/>
      <c r="N34" s="239"/>
      <c r="O34" s="239"/>
      <c r="P34" s="239"/>
      <c r="Q34" s="239"/>
      <c r="R34" s="239"/>
      <c r="S34" s="239"/>
      <c r="T34" s="239"/>
      <c r="U34" s="239"/>
    </row>
    <row r="35" spans="2:21" s="236" customFormat="1" x14ac:dyDescent="0.25">
      <c r="L35" s="224"/>
      <c r="M35" s="224"/>
    </row>
    <row r="36" spans="2:21" s="236" customFormat="1" x14ac:dyDescent="0.25"/>
    <row r="37" spans="2:21" s="236" customFormat="1" x14ac:dyDescent="0.25"/>
    <row r="38" spans="2:21" s="236" customFormat="1" x14ac:dyDescent="0.25"/>
    <row r="39" spans="2:21" s="236" customFormat="1" x14ac:dyDescent="0.25"/>
    <row r="40" spans="2:21" s="236" customFormat="1" x14ac:dyDescent="0.25"/>
    <row r="41" spans="2:21" s="236" customFormat="1" x14ac:dyDescent="0.25"/>
    <row r="42" spans="2:21" s="236" customFormat="1" x14ac:dyDescent="0.25"/>
    <row r="43" spans="2:21" s="236" customFormat="1" x14ac:dyDescent="0.25"/>
    <row r="44" spans="2:21" s="236" customFormat="1" x14ac:dyDescent="0.25"/>
    <row r="45" spans="2:21" s="236" customFormat="1" x14ac:dyDescent="0.25"/>
    <row r="46" spans="2:21" s="236" customFormat="1" x14ac:dyDescent="0.25"/>
    <row r="47" spans="2:21" s="236" customFormat="1" x14ac:dyDescent="0.25"/>
    <row r="48" spans="2:21" s="236" customFormat="1" x14ac:dyDescent="0.25"/>
    <row r="49" s="242" customFormat="1" x14ac:dyDescent="0.25"/>
    <row r="50" s="242" customFormat="1" x14ac:dyDescent="0.25"/>
    <row r="51" s="242" customFormat="1" x14ac:dyDescent="0.25"/>
    <row r="52" s="242" customFormat="1" x14ac:dyDescent="0.25"/>
    <row r="53" s="242" customFormat="1" x14ac:dyDescent="0.25"/>
    <row r="54" s="242" customFormat="1" x14ac:dyDescent="0.25"/>
    <row r="55" s="242" customFormat="1" x14ac:dyDescent="0.25"/>
    <row r="56" s="242" customFormat="1" x14ac:dyDescent="0.25"/>
    <row r="57" s="242" customFormat="1" x14ac:dyDescent="0.25"/>
    <row r="58" s="242" customFormat="1" x14ac:dyDescent="0.25"/>
    <row r="59" s="242" customFormat="1" x14ac:dyDescent="0.25"/>
    <row r="60" s="242" customFormat="1" x14ac:dyDescent="0.25"/>
    <row r="61" s="242" customFormat="1" x14ac:dyDescent="0.25"/>
    <row r="62" s="242" customFormat="1" x14ac:dyDescent="0.25"/>
    <row r="63" s="242" customFormat="1" x14ac:dyDescent="0.25"/>
    <row r="64" s="242" customFormat="1" x14ac:dyDescent="0.25"/>
    <row r="65" s="242" customFormat="1" x14ac:dyDescent="0.25"/>
    <row r="66" s="242" customFormat="1" x14ac:dyDescent="0.25"/>
    <row r="67" s="242" customFormat="1" x14ac:dyDescent="0.25"/>
    <row r="68" s="242" customFormat="1" x14ac:dyDescent="0.25"/>
    <row r="69" s="242" customFormat="1" x14ac:dyDescent="0.25"/>
    <row r="70" s="242" customFormat="1" x14ac:dyDescent="0.25"/>
    <row r="71" s="242" customFormat="1" x14ac:dyDescent="0.25"/>
    <row r="72" s="242" customFormat="1" x14ac:dyDescent="0.25"/>
    <row r="73" s="242" customFormat="1" x14ac:dyDescent="0.25"/>
    <row r="74" s="242" customFormat="1" x14ac:dyDescent="0.25"/>
    <row r="75" s="242" customFormat="1" x14ac:dyDescent="0.25"/>
    <row r="76" s="242" customFormat="1" x14ac:dyDescent="0.25"/>
    <row r="77" s="242" customFormat="1" x14ac:dyDescent="0.25"/>
    <row r="78" s="242" customFormat="1" x14ac:dyDescent="0.25"/>
    <row r="79" s="242" customFormat="1" x14ac:dyDescent="0.25"/>
    <row r="80" s="242" customFormat="1" x14ac:dyDescent="0.25"/>
    <row r="81" s="242" customFormat="1" x14ac:dyDescent="0.25"/>
    <row r="82" s="242" customFormat="1" x14ac:dyDescent="0.25"/>
    <row r="83" s="242" customFormat="1" x14ac:dyDescent="0.25"/>
    <row r="84" s="242" customFormat="1" x14ac:dyDescent="0.25"/>
    <row r="85" s="242" customFormat="1" x14ac:dyDescent="0.25"/>
    <row r="86" s="242" customFormat="1" x14ac:dyDescent="0.25"/>
    <row r="87" s="242" customFormat="1" x14ac:dyDescent="0.25"/>
    <row r="88" s="242" customFormat="1" x14ac:dyDescent="0.25"/>
    <row r="89" s="242" customFormat="1" x14ac:dyDescent="0.25"/>
    <row r="90" s="242" customFormat="1" x14ac:dyDescent="0.25"/>
  </sheetData>
  <sheetProtection algorithmName="SHA-512" hashValue="niZbCaMfISqXUWLLya47ftIYKF6SECDKNRJxapVxWT0QKELLclz025C6zpXcknspLbWohNbJdHfbE7bbXOLNRg==" saltValue="hx6JcH4uI/pzutD3QrRmGw==" spinCount="100000" sheet="1" objects="1" scenarios="1"/>
  <hyperlinks>
    <hyperlink ref="K34" location="Instructions!A1" display="Go to Instructions " xr:uid="{4D2DBD65-D951-469D-A3BC-DAED8166FF93}"/>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O130"/>
  <sheetViews>
    <sheetView topLeftCell="A28" zoomScale="80" zoomScaleNormal="80" workbookViewId="0">
      <selection activeCell="I41" sqref="I41"/>
    </sheetView>
  </sheetViews>
  <sheetFormatPr defaultRowHeight="15" x14ac:dyDescent="0.25"/>
  <cols>
    <col min="1" max="1" width="2.28515625" style="193" customWidth="1"/>
    <col min="2" max="3" width="9.140625" style="17"/>
    <col min="4" max="4" width="19.42578125" style="17" customWidth="1"/>
    <col min="5" max="5" width="16.7109375" style="17" customWidth="1"/>
    <col min="6" max="6" width="9.140625" style="17"/>
    <col min="7" max="7" width="17.42578125" style="17" customWidth="1"/>
    <col min="8" max="8" width="19" style="17" customWidth="1"/>
    <col min="9" max="9" width="19.5703125" style="17" customWidth="1"/>
    <col min="10" max="10" width="9.140625" style="17"/>
    <col min="11" max="11" width="19.5703125" style="17" customWidth="1"/>
    <col min="12" max="12" width="16" style="17" customWidth="1"/>
    <col min="13" max="13" width="16.42578125" style="17" customWidth="1"/>
    <col min="14" max="14" width="19.28515625" style="17" customWidth="1"/>
    <col min="15" max="15" width="21.42578125" style="17" customWidth="1"/>
    <col min="16" max="16" width="21.140625" style="31" customWidth="1"/>
    <col min="17" max="17" width="25.42578125" style="31" customWidth="1"/>
    <col min="18" max="18" width="26.85546875" style="31" customWidth="1"/>
    <col min="19" max="19" width="17.5703125" style="31" customWidth="1"/>
    <col min="20" max="20" width="16.28515625" style="31" customWidth="1"/>
    <col min="21" max="21" width="11.42578125" style="31" customWidth="1"/>
    <col min="22" max="22" width="13.28515625" style="31" customWidth="1"/>
    <col min="23" max="23" width="17.85546875" style="31" customWidth="1"/>
    <col min="24" max="24" width="12.85546875" style="31" customWidth="1"/>
    <col min="25" max="25" width="11.42578125" style="31" customWidth="1"/>
    <col min="26" max="26" width="12" style="31" customWidth="1"/>
    <col min="27" max="27" width="12.7109375" style="31" customWidth="1"/>
    <col min="28" max="28" width="10.7109375" style="31" customWidth="1"/>
    <col min="29" max="29" width="8.28515625" style="31" customWidth="1"/>
    <col min="30" max="30" width="8.7109375" style="31" customWidth="1"/>
    <col min="31" max="31" width="10.42578125" style="31" customWidth="1"/>
    <col min="32" max="32" width="6.42578125" style="31" customWidth="1"/>
    <col min="33" max="33" width="10.42578125" style="31" customWidth="1"/>
    <col min="34" max="34" width="14" style="31" customWidth="1"/>
    <col min="35" max="35" width="10.5703125" style="31" customWidth="1"/>
    <col min="36" max="36" width="5.7109375" style="31" customWidth="1"/>
    <col min="37" max="37" width="9.42578125" style="31" customWidth="1"/>
    <col min="38" max="38" width="9" style="31" customWidth="1"/>
    <col min="39" max="39" width="5.7109375" style="31" customWidth="1"/>
    <col min="40" max="40" width="6.85546875" style="31" customWidth="1"/>
    <col min="41" max="41" width="8.5703125" style="31" customWidth="1"/>
    <col min="42" max="42" width="9.42578125" style="31" customWidth="1"/>
    <col min="43" max="43" width="11.85546875" style="31" customWidth="1"/>
    <col min="44" max="44" width="13.7109375" style="31" customWidth="1"/>
    <col min="45" max="45" width="9.42578125" style="31" customWidth="1"/>
    <col min="46" max="46" width="10.42578125" style="31" customWidth="1"/>
    <col min="47" max="47" width="17.140625" style="31" customWidth="1"/>
    <col min="48" max="48" width="14.28515625" style="31" customWidth="1"/>
    <col min="49" max="49" width="11.85546875" style="31" customWidth="1"/>
    <col min="50" max="50" width="9.42578125" style="31" customWidth="1"/>
    <col min="51" max="51" width="12.140625" style="31" customWidth="1"/>
    <col min="52" max="52" width="7.7109375" style="31" customWidth="1"/>
    <col min="53" max="53" width="10.28515625" style="31" customWidth="1"/>
    <col min="54" max="54" width="11" style="31" customWidth="1"/>
    <col min="55" max="55" width="13" style="31" bestFit="1" customWidth="1"/>
    <col min="56" max="56" width="7.85546875" style="31" customWidth="1"/>
    <col min="57" max="57" width="13" style="31" bestFit="1" customWidth="1"/>
    <col min="58" max="58" width="26.42578125" style="31" bestFit="1" customWidth="1"/>
    <col min="59" max="59" width="28.5703125" style="31" bestFit="1" customWidth="1"/>
    <col min="60" max="64" width="6.5703125" style="31" bestFit="1" customWidth="1"/>
    <col min="65" max="65" width="23.5703125" style="31" customWidth="1"/>
    <col min="66" max="66" width="25.85546875" style="31" customWidth="1"/>
    <col min="67" max="67" width="28.7109375" style="31" customWidth="1"/>
    <col min="68" max="68" width="23" style="31" customWidth="1"/>
    <col min="69" max="93" width="9.140625" style="193"/>
    <col min="94" max="16384" width="9.140625" style="31"/>
  </cols>
  <sheetData>
    <row r="1" spans="2:68" ht="24" thickTop="1" x14ac:dyDescent="0.35">
      <c r="B1" s="191" t="s">
        <v>112</v>
      </c>
      <c r="C1" s="192"/>
      <c r="D1" s="192"/>
      <c r="E1" s="192"/>
      <c r="F1" s="192"/>
      <c r="G1" s="192"/>
      <c r="H1" s="192"/>
      <c r="I1" s="192"/>
      <c r="J1" s="192"/>
      <c r="K1" s="192"/>
      <c r="L1" s="160"/>
      <c r="M1" s="160"/>
      <c r="N1" s="160"/>
      <c r="O1" s="161"/>
      <c r="BF1" s="31" t="s">
        <v>80</v>
      </c>
      <c r="BG1" s="31" t="s">
        <v>81</v>
      </c>
    </row>
    <row r="2" spans="2:68" ht="18.75" x14ac:dyDescent="0.3">
      <c r="B2" s="162" t="s">
        <v>82</v>
      </c>
      <c r="C2" s="140"/>
      <c r="D2" s="140"/>
      <c r="E2" s="140"/>
      <c r="F2" s="140"/>
      <c r="G2" s="140"/>
      <c r="H2" s="140"/>
      <c r="I2" s="140"/>
      <c r="J2" s="140"/>
      <c r="K2" s="140"/>
      <c r="L2" s="140"/>
      <c r="M2" s="140"/>
      <c r="N2" s="123"/>
      <c r="O2" s="163"/>
    </row>
    <row r="3" spans="2:68" ht="18.75" x14ac:dyDescent="0.3">
      <c r="B3" s="162" t="s">
        <v>144</v>
      </c>
      <c r="C3" s="140"/>
      <c r="D3" s="140"/>
      <c r="E3" s="140"/>
      <c r="F3" s="140"/>
      <c r="G3" s="140"/>
      <c r="H3" s="140"/>
      <c r="I3" s="140"/>
      <c r="J3" s="140"/>
      <c r="K3" s="140"/>
      <c r="L3" s="140"/>
      <c r="M3" s="140"/>
      <c r="N3" s="123"/>
      <c r="O3" s="163"/>
    </row>
    <row r="4" spans="2:68" ht="18.75" x14ac:dyDescent="0.3">
      <c r="B4" s="162" t="s">
        <v>148</v>
      </c>
      <c r="C4" s="140"/>
      <c r="D4" s="140"/>
      <c r="E4" s="140"/>
      <c r="F4" s="140"/>
      <c r="G4" s="140"/>
      <c r="H4" s="140"/>
      <c r="I4" s="140"/>
      <c r="J4" s="140"/>
      <c r="K4" s="140"/>
      <c r="L4" s="140"/>
      <c r="M4" s="140"/>
      <c r="N4" s="123"/>
      <c r="O4" s="163"/>
    </row>
    <row r="5" spans="2:68" ht="18.75" x14ac:dyDescent="0.3">
      <c r="B5" s="162" t="s">
        <v>145</v>
      </c>
      <c r="C5" s="140"/>
      <c r="D5" s="140"/>
      <c r="E5" s="140"/>
      <c r="F5" s="140"/>
      <c r="G5" s="140"/>
      <c r="H5" s="140"/>
      <c r="I5" s="140"/>
      <c r="J5" s="140"/>
      <c r="K5" s="140"/>
      <c r="L5" s="140"/>
      <c r="M5" s="140"/>
      <c r="N5" s="123"/>
      <c r="O5" s="163"/>
    </row>
    <row r="6" spans="2:68" ht="18.75" x14ac:dyDescent="0.3">
      <c r="B6" s="162" t="s">
        <v>146</v>
      </c>
      <c r="C6" s="140"/>
      <c r="D6" s="140"/>
      <c r="E6" s="140"/>
      <c r="F6" s="140"/>
      <c r="G6" s="140"/>
      <c r="H6" s="140"/>
      <c r="I6" s="140"/>
      <c r="J6" s="140"/>
      <c r="K6" s="140"/>
      <c r="L6" s="140"/>
      <c r="M6" s="140"/>
      <c r="N6" s="123"/>
      <c r="O6" s="163"/>
    </row>
    <row r="7" spans="2:68" ht="18.75" x14ac:dyDescent="0.3">
      <c r="B7" s="162" t="s">
        <v>147</v>
      </c>
      <c r="C7" s="140"/>
      <c r="D7" s="140"/>
      <c r="E7" s="140"/>
      <c r="F7" s="140"/>
      <c r="G7" s="140"/>
      <c r="H7" s="140"/>
      <c r="I7" s="140"/>
      <c r="J7" s="140"/>
      <c r="K7" s="140"/>
      <c r="L7" s="140"/>
      <c r="M7" s="140"/>
      <c r="N7" s="123"/>
      <c r="O7" s="163"/>
    </row>
    <row r="8" spans="2:68" ht="18.75" x14ac:dyDescent="0.3">
      <c r="B8" s="162" t="s">
        <v>83</v>
      </c>
      <c r="C8" s="140"/>
      <c r="D8" s="140"/>
      <c r="E8" s="140"/>
      <c r="F8" s="140"/>
      <c r="G8" s="140"/>
      <c r="H8" s="140"/>
      <c r="I8" s="140"/>
      <c r="J8" s="140"/>
      <c r="K8" s="140"/>
      <c r="L8" s="140"/>
      <c r="M8" s="140"/>
      <c r="N8" s="123"/>
      <c r="O8" s="163"/>
    </row>
    <row r="9" spans="2:68" ht="18.75" customHeight="1" x14ac:dyDescent="0.3">
      <c r="B9" s="189" t="s">
        <v>149</v>
      </c>
      <c r="C9" s="140"/>
      <c r="D9" s="140"/>
      <c r="E9" s="140"/>
      <c r="F9" s="140"/>
      <c r="G9" s="140"/>
      <c r="H9" s="140"/>
      <c r="I9" s="140"/>
      <c r="J9" s="140"/>
      <c r="K9" s="140"/>
      <c r="L9" s="140"/>
      <c r="M9" s="140"/>
      <c r="N9" s="123"/>
      <c r="O9" s="163"/>
    </row>
    <row r="10" spans="2:68" ht="19.5" thickBot="1" x14ac:dyDescent="0.35">
      <c r="B10" s="164" t="s">
        <v>142</v>
      </c>
      <c r="C10" s="165"/>
      <c r="D10" s="165"/>
      <c r="E10" s="165"/>
      <c r="F10" s="165"/>
      <c r="G10" s="165"/>
      <c r="H10" s="165"/>
      <c r="I10" s="165"/>
      <c r="J10" s="165"/>
      <c r="K10" s="165"/>
      <c r="L10" s="165"/>
      <c r="M10" s="165"/>
      <c r="N10" s="166"/>
      <c r="O10" s="167"/>
      <c r="S10" s="31" t="s">
        <v>84</v>
      </c>
    </row>
    <row r="11" spans="2:68" ht="15.75" thickTop="1" x14ac:dyDescent="0.25">
      <c r="B11" s="168"/>
      <c r="C11" s="160"/>
      <c r="D11" s="160"/>
      <c r="E11" s="160"/>
      <c r="F11" s="160"/>
      <c r="G11" s="160"/>
      <c r="H11" s="160"/>
      <c r="I11" s="160"/>
      <c r="J11" s="160"/>
      <c r="K11" s="160"/>
      <c r="L11" s="160"/>
      <c r="M11" s="160"/>
      <c r="N11" s="160"/>
      <c r="O11" s="161"/>
      <c r="S11" s="31" t="s">
        <v>85</v>
      </c>
      <c r="T11" s="31" t="s">
        <v>86</v>
      </c>
      <c r="W11" s="31" t="s">
        <v>87</v>
      </c>
      <c r="AB11" s="31">
        <f>LOOKUP(AX16,BE11:BE130,BF11:BF130)</f>
        <v>0.996</v>
      </c>
      <c r="AC11" s="31">
        <f>LOOKUP(AX16,BE11:BE130,BG11:BG130)</f>
        <v>0.999</v>
      </c>
      <c r="BE11" s="31">
        <v>50</v>
      </c>
      <c r="BF11" s="31">
        <v>0.68200000000000005</v>
      </c>
      <c r="BG11" s="31">
        <v>0.84499999999999997</v>
      </c>
      <c r="BH11" s="31">
        <v>0.80800000000000005</v>
      </c>
      <c r="BI11" s="31">
        <v>0.82699999999999996</v>
      </c>
      <c r="BJ11" s="31">
        <v>0.84699999999999998</v>
      </c>
      <c r="BK11" s="31">
        <v>0.86699999999999999</v>
      </c>
      <c r="BL11" s="31">
        <v>0.88800000000000001</v>
      </c>
      <c r="BM11" s="31">
        <v>0.90900000000000003</v>
      </c>
      <c r="BN11" s="31">
        <v>0.93100000000000005</v>
      </c>
      <c r="BO11" s="31">
        <v>0.95399999999999996</v>
      </c>
      <c r="BP11" s="31">
        <v>0.97699999999999998</v>
      </c>
    </row>
    <row r="12" spans="2:68" ht="21" x14ac:dyDescent="0.35">
      <c r="B12" s="169" t="s">
        <v>88</v>
      </c>
      <c r="C12" s="123"/>
      <c r="D12" s="123"/>
      <c r="E12" s="123"/>
      <c r="F12" s="123"/>
      <c r="G12" s="123"/>
      <c r="H12" s="123"/>
      <c r="I12" s="123"/>
      <c r="J12" s="123"/>
      <c r="K12" s="123"/>
      <c r="L12" s="123"/>
      <c r="M12" s="123"/>
      <c r="N12" s="123"/>
      <c r="O12" s="163"/>
      <c r="S12" s="31">
        <f>M14</f>
        <v>0</v>
      </c>
      <c r="T12" s="31">
        <f>N14</f>
        <v>0</v>
      </c>
      <c r="W12" s="31">
        <f>T12/365</f>
        <v>0</v>
      </c>
      <c r="BA12" s="31">
        <v>1</v>
      </c>
      <c r="BB12" s="31">
        <v>12</v>
      </c>
      <c r="BC12" s="31">
        <v>8.3333333333333329E-2</v>
      </c>
      <c r="BE12" s="31">
        <v>50.083333333333336</v>
      </c>
      <c r="BF12" s="31">
        <v>0.68400000000000005</v>
      </c>
      <c r="BG12" s="31">
        <v>0.84599999999999997</v>
      </c>
      <c r="BH12" s="31">
        <v>0.80900000000000005</v>
      </c>
      <c r="BI12" s="31">
        <v>0.82899999999999996</v>
      </c>
      <c r="BJ12" s="31">
        <v>0.84899999999999998</v>
      </c>
      <c r="BK12" s="31">
        <v>0.86899999999999999</v>
      </c>
      <c r="BL12" s="31">
        <v>0.89</v>
      </c>
      <c r="BM12" s="31">
        <v>0.91100000000000003</v>
      </c>
      <c r="BN12" s="31">
        <v>0.93300000000000005</v>
      </c>
      <c r="BO12" s="31">
        <v>0.95599999999999996</v>
      </c>
      <c r="BP12" s="31">
        <v>0.97899999999999998</v>
      </c>
    </row>
    <row r="13" spans="2:68" ht="19.5" thickBot="1" x14ac:dyDescent="0.35">
      <c r="B13" s="162"/>
      <c r="C13" s="140"/>
      <c r="D13" s="140"/>
      <c r="E13" s="140"/>
      <c r="F13" s="140"/>
      <c r="G13" s="140"/>
      <c r="H13" s="140"/>
      <c r="I13" s="140"/>
      <c r="J13" s="140"/>
      <c r="K13" s="140"/>
      <c r="L13" s="140"/>
      <c r="M13" s="196" t="s">
        <v>32</v>
      </c>
      <c r="N13" s="196" t="s">
        <v>89</v>
      </c>
      <c r="O13" s="163"/>
      <c r="W13" s="31">
        <f>W12+S12</f>
        <v>0</v>
      </c>
      <c r="X13" s="31" t="s">
        <v>90</v>
      </c>
      <c r="Y13" s="31">
        <f>T12/365+S12</f>
        <v>0</v>
      </c>
      <c r="BA13" s="31">
        <v>2</v>
      </c>
      <c r="BB13" s="31">
        <v>12</v>
      </c>
      <c r="BC13" s="31">
        <v>0.16666666666666666</v>
      </c>
      <c r="BE13" s="31">
        <v>50.166666666666664</v>
      </c>
      <c r="BF13" s="31">
        <v>0.68500000000000005</v>
      </c>
      <c r="BG13" s="31">
        <v>0.84699999999999998</v>
      </c>
      <c r="BH13" s="31">
        <v>0.81100000000000005</v>
      </c>
      <c r="BI13" s="31">
        <v>0.83</v>
      </c>
      <c r="BJ13" s="31">
        <v>0.85</v>
      </c>
      <c r="BK13" s="31">
        <v>0.871</v>
      </c>
      <c r="BL13" s="31">
        <v>0.89200000000000002</v>
      </c>
      <c r="BM13" s="31">
        <v>0.91300000000000003</v>
      </c>
      <c r="BN13" s="31">
        <v>0.93500000000000005</v>
      </c>
      <c r="BO13" s="31">
        <v>0.95699999999999996</v>
      </c>
      <c r="BP13" s="31">
        <v>0.98</v>
      </c>
    </row>
    <row r="14" spans="2:68" ht="20.25" thickTop="1" thickBot="1" x14ac:dyDescent="0.35">
      <c r="B14" s="162" t="s">
        <v>91</v>
      </c>
      <c r="C14" s="140"/>
      <c r="D14" s="140"/>
      <c r="E14" s="140"/>
      <c r="F14" s="140"/>
      <c r="G14" s="140"/>
      <c r="H14" s="140"/>
      <c r="I14" s="140"/>
      <c r="J14" s="140"/>
      <c r="K14" s="140"/>
      <c r="L14" s="140"/>
      <c r="M14" s="182">
        <f>Sheet2!L14</f>
        <v>0</v>
      </c>
      <c r="N14" s="182">
        <f>Sheet2!M14</f>
        <v>0</v>
      </c>
      <c r="O14" s="163"/>
      <c r="AV14" s="31" t="s">
        <v>92</v>
      </c>
      <c r="AX14" s="31" t="s">
        <v>35</v>
      </c>
      <c r="BA14" s="31">
        <v>3</v>
      </c>
      <c r="BB14" s="31">
        <v>12</v>
      </c>
      <c r="BC14" s="31">
        <v>0.25</v>
      </c>
      <c r="BE14" s="31">
        <v>50.25</v>
      </c>
      <c r="BF14" s="31">
        <v>0.68700000000000006</v>
      </c>
      <c r="BG14" s="31">
        <v>0.84799999999999998</v>
      </c>
      <c r="BH14" s="31">
        <v>0.81299999999999994</v>
      </c>
      <c r="BI14" s="31">
        <v>0.83199999999999996</v>
      </c>
      <c r="BJ14" s="31">
        <v>0.85199999999999998</v>
      </c>
      <c r="BK14" s="31">
        <v>0.873</v>
      </c>
      <c r="BL14" s="31">
        <v>0.89400000000000002</v>
      </c>
      <c r="BM14" s="31">
        <v>0.91500000000000004</v>
      </c>
      <c r="BN14" s="31">
        <v>0.93700000000000006</v>
      </c>
      <c r="BO14" s="31">
        <v>0.95899999999999996</v>
      </c>
      <c r="BP14" s="31">
        <v>0.98199999999999998</v>
      </c>
    </row>
    <row r="15" spans="2:68" ht="19.5" thickTop="1" x14ac:dyDescent="0.3">
      <c r="B15" s="162" t="s">
        <v>93</v>
      </c>
      <c r="C15" s="140"/>
      <c r="D15" s="140"/>
      <c r="E15" s="140"/>
      <c r="F15" s="140"/>
      <c r="G15" s="140"/>
      <c r="H15" s="140"/>
      <c r="I15" s="140"/>
      <c r="J15" s="140"/>
      <c r="K15" s="140"/>
      <c r="L15" s="140"/>
      <c r="M15" s="140"/>
      <c r="N15" s="140"/>
      <c r="O15" s="163"/>
      <c r="BA15" s="31">
        <v>4</v>
      </c>
      <c r="BB15" s="31">
        <v>12</v>
      </c>
      <c r="BC15" s="31">
        <v>0.33333333333333331</v>
      </c>
      <c r="BE15" s="31">
        <v>50.333333333333336</v>
      </c>
      <c r="BF15" s="31">
        <v>0.68899999999999995</v>
      </c>
      <c r="BG15" s="31">
        <v>0.85</v>
      </c>
      <c r="BH15" s="31">
        <v>0.81399999999999995</v>
      </c>
      <c r="BI15" s="31">
        <v>0.83399999999999996</v>
      </c>
      <c r="BJ15" s="31">
        <v>0.85399999999999998</v>
      </c>
      <c r="BK15" s="31">
        <v>0.874</v>
      </c>
      <c r="BL15" s="31">
        <v>0.89500000000000002</v>
      </c>
      <c r="BM15" s="31">
        <v>0.91700000000000004</v>
      </c>
      <c r="BN15" s="31">
        <v>0.93899999999999995</v>
      </c>
      <c r="BO15" s="31">
        <v>0.96099999999999997</v>
      </c>
      <c r="BP15" s="31">
        <v>0.98399999999999999</v>
      </c>
    </row>
    <row r="16" spans="2:68" ht="19.5" thickBot="1" x14ac:dyDescent="0.35">
      <c r="B16" s="162"/>
      <c r="C16" s="140"/>
      <c r="D16" s="140"/>
      <c r="E16" s="140"/>
      <c r="F16" s="140"/>
      <c r="G16" s="140"/>
      <c r="H16" s="140"/>
      <c r="I16" s="140"/>
      <c r="J16" s="140"/>
      <c r="K16" s="140"/>
      <c r="L16" s="140"/>
      <c r="M16" s="140"/>
      <c r="N16" s="140"/>
      <c r="O16" s="163"/>
      <c r="V16" s="31">
        <f>W13/80*M17</f>
        <v>0</v>
      </c>
      <c r="X16" s="31">
        <f>V16*AB11</f>
        <v>0</v>
      </c>
      <c r="AV16" s="31">
        <f>N30/12</f>
        <v>0</v>
      </c>
      <c r="AX16" s="31">
        <f>AV16+M30</f>
        <v>67</v>
      </c>
      <c r="BA16" s="31">
        <v>5</v>
      </c>
      <c r="BB16" s="31">
        <v>12</v>
      </c>
      <c r="BC16" s="31">
        <v>0.41666666666666669</v>
      </c>
      <c r="BE16" s="31">
        <v>50.416666666666664</v>
      </c>
      <c r="BF16" s="31">
        <v>0.69099999999999995</v>
      </c>
      <c r="BG16" s="31">
        <v>0.85099999999999998</v>
      </c>
      <c r="BH16" s="31">
        <v>0.81599999999999995</v>
      </c>
      <c r="BI16" s="31">
        <v>0.83499999999999996</v>
      </c>
      <c r="BJ16" s="31">
        <v>0.85599999999999998</v>
      </c>
      <c r="BK16" s="31">
        <v>0.876</v>
      </c>
      <c r="BL16" s="31">
        <v>0.89700000000000002</v>
      </c>
      <c r="BM16" s="31">
        <v>0.91900000000000004</v>
      </c>
      <c r="BN16" s="31">
        <v>0.94099999999999995</v>
      </c>
      <c r="BO16" s="31">
        <v>0.96299999999999997</v>
      </c>
      <c r="BP16" s="31">
        <v>0.98599999999999999</v>
      </c>
    </row>
    <row r="17" spans="2:68" ht="20.25" thickTop="1" thickBot="1" x14ac:dyDescent="0.35">
      <c r="B17" s="189" t="s">
        <v>139</v>
      </c>
      <c r="C17" s="140"/>
      <c r="D17" s="140"/>
      <c r="E17" s="140"/>
      <c r="F17" s="140"/>
      <c r="G17" s="140"/>
      <c r="H17" s="140"/>
      <c r="I17" s="140"/>
      <c r="J17" s="140"/>
      <c r="K17" s="140"/>
      <c r="L17" s="140"/>
      <c r="M17" s="183">
        <f>'1995 Scheme Information'!M18</f>
        <v>0</v>
      </c>
      <c r="N17" s="140"/>
      <c r="O17" s="163"/>
      <c r="BA17" s="31">
        <v>6</v>
      </c>
      <c r="BB17" s="31">
        <v>12</v>
      </c>
      <c r="BC17" s="31">
        <v>0.5</v>
      </c>
      <c r="BE17" s="31">
        <v>50.5</v>
      </c>
      <c r="BF17" s="31">
        <v>0.69299999999999995</v>
      </c>
      <c r="BG17" s="31">
        <v>0.85199999999999998</v>
      </c>
      <c r="BH17" s="31">
        <v>0.81699999999999995</v>
      </c>
      <c r="BI17" s="31">
        <v>0.83699999999999997</v>
      </c>
      <c r="BJ17" s="31">
        <v>0.85699999999999998</v>
      </c>
      <c r="BK17" s="31">
        <v>0.878</v>
      </c>
      <c r="BL17" s="31">
        <v>0.89900000000000002</v>
      </c>
      <c r="BM17" s="31">
        <v>0.92</v>
      </c>
      <c r="BN17" s="31">
        <v>0.94199999999999995</v>
      </c>
      <c r="BO17" s="31">
        <v>0.96499999999999997</v>
      </c>
      <c r="BP17" s="31">
        <v>0.98799999999999999</v>
      </c>
    </row>
    <row r="18" spans="2:68" ht="20.25" thickTop="1" thickBot="1" x14ac:dyDescent="0.35">
      <c r="B18" s="162"/>
      <c r="C18" s="140"/>
      <c r="D18" s="140"/>
      <c r="E18" s="140"/>
      <c r="F18" s="140"/>
      <c r="G18" s="140"/>
      <c r="H18" s="140"/>
      <c r="I18" s="140"/>
      <c r="J18" s="140"/>
      <c r="K18" s="140"/>
      <c r="L18" s="140"/>
      <c r="M18" s="140"/>
      <c r="N18" s="140"/>
      <c r="O18" s="163"/>
      <c r="R18" s="31" t="s">
        <v>94</v>
      </c>
      <c r="V18" s="31">
        <f>V16*3</f>
        <v>0</v>
      </c>
      <c r="X18" s="31">
        <f>V18*AC11</f>
        <v>0</v>
      </c>
      <c r="BA18" s="31">
        <v>7</v>
      </c>
      <c r="BB18" s="31">
        <v>12</v>
      </c>
      <c r="BC18" s="31">
        <v>0.58333333333333337</v>
      </c>
      <c r="BE18" s="31">
        <v>50.583333333333336</v>
      </c>
      <c r="BF18" s="31">
        <v>0.69499999999999995</v>
      </c>
      <c r="BG18" s="31">
        <v>0.85299999999999998</v>
      </c>
      <c r="BH18" s="31">
        <v>0.81899999999999995</v>
      </c>
      <c r="BI18" s="31">
        <v>0.83899999999999997</v>
      </c>
      <c r="BJ18" s="31">
        <v>0.85899999999999999</v>
      </c>
      <c r="BK18" s="31">
        <v>0.88</v>
      </c>
      <c r="BL18" s="31">
        <v>0.90100000000000002</v>
      </c>
      <c r="BM18" s="31">
        <v>0.92200000000000004</v>
      </c>
      <c r="BN18" s="31">
        <v>0.94399999999999995</v>
      </c>
      <c r="BO18" s="31">
        <v>0.96699999999999997</v>
      </c>
      <c r="BP18" s="31">
        <v>0.99</v>
      </c>
    </row>
    <row r="19" spans="2:68" ht="20.25" thickTop="1" thickBot="1" x14ac:dyDescent="0.35">
      <c r="B19" s="162" t="s">
        <v>95</v>
      </c>
      <c r="C19" s="140"/>
      <c r="D19" s="140"/>
      <c r="E19" s="140"/>
      <c r="F19" s="140"/>
      <c r="G19" s="140"/>
      <c r="H19" s="140"/>
      <c r="I19" s="140"/>
      <c r="J19" s="140"/>
      <c r="K19" s="140"/>
      <c r="L19" s="140"/>
      <c r="M19" s="182" t="str">
        <f>Sheet2!L19</f>
        <v>No</v>
      </c>
      <c r="N19" s="140"/>
      <c r="O19" s="163"/>
      <c r="R19" s="31" t="s">
        <v>96</v>
      </c>
      <c r="BA19" s="31">
        <v>8</v>
      </c>
      <c r="BB19" s="31">
        <v>12</v>
      </c>
      <c r="BC19" s="31">
        <v>0.66666666666666663</v>
      </c>
      <c r="BE19" s="31">
        <v>50.666666666666664</v>
      </c>
      <c r="BF19" s="31">
        <v>0.69699999999999995</v>
      </c>
      <c r="BG19" s="31">
        <v>0.85399999999999998</v>
      </c>
      <c r="BH19" s="31">
        <v>0.82099999999999995</v>
      </c>
      <c r="BI19" s="31">
        <v>0.84</v>
      </c>
      <c r="BJ19" s="31">
        <v>0.86099999999999999</v>
      </c>
      <c r="BK19" s="31">
        <v>0.88100000000000001</v>
      </c>
      <c r="BL19" s="31">
        <v>0.90200000000000002</v>
      </c>
      <c r="BM19" s="31">
        <v>0.92400000000000004</v>
      </c>
      <c r="BN19" s="31">
        <v>0.94599999999999995</v>
      </c>
      <c r="BO19" s="31">
        <v>0.96899999999999997</v>
      </c>
      <c r="BP19" s="31">
        <v>0.99199999999999999</v>
      </c>
    </row>
    <row r="20" spans="2:68" ht="19.5" thickTop="1" x14ac:dyDescent="0.3">
      <c r="B20" s="162"/>
      <c r="C20" s="140"/>
      <c r="D20" s="140"/>
      <c r="E20" s="140"/>
      <c r="F20" s="140"/>
      <c r="G20" s="140"/>
      <c r="H20" s="140"/>
      <c r="I20" s="140"/>
      <c r="J20" s="140"/>
      <c r="K20" s="140"/>
      <c r="L20" s="140"/>
      <c r="M20" s="140"/>
      <c r="N20" s="140"/>
      <c r="O20" s="163"/>
      <c r="BA20" s="31">
        <v>9</v>
      </c>
      <c r="BB20" s="31">
        <v>12</v>
      </c>
      <c r="BC20" s="31">
        <v>0.75</v>
      </c>
      <c r="BE20" s="31">
        <v>50.75</v>
      </c>
      <c r="BF20" s="31">
        <v>0.69799999999999995</v>
      </c>
      <c r="BG20" s="31">
        <v>0.85599999999999998</v>
      </c>
      <c r="BH20" s="31">
        <v>0.82199999999999995</v>
      </c>
      <c r="BI20" s="31">
        <v>0.84199999999999997</v>
      </c>
      <c r="BJ20" s="31">
        <v>0.86199999999999999</v>
      </c>
      <c r="BK20" s="31">
        <v>0.88300000000000001</v>
      </c>
      <c r="BL20" s="31">
        <v>0.90400000000000003</v>
      </c>
      <c r="BM20" s="31">
        <v>0.92600000000000005</v>
      </c>
      <c r="BN20" s="31">
        <v>0.94799999999999995</v>
      </c>
      <c r="BO20" s="31">
        <v>0.97099999999999997</v>
      </c>
      <c r="BP20" s="31">
        <v>0.99399999999999999</v>
      </c>
    </row>
    <row r="21" spans="2:68" ht="21" x14ac:dyDescent="0.35">
      <c r="B21" s="169" t="s">
        <v>150</v>
      </c>
      <c r="C21" s="123"/>
      <c r="D21" s="123"/>
      <c r="E21" s="123"/>
      <c r="F21" s="123"/>
      <c r="G21" s="123"/>
      <c r="H21" s="123"/>
      <c r="I21" s="123"/>
      <c r="J21" s="123"/>
      <c r="K21" s="123"/>
      <c r="L21" s="123"/>
      <c r="M21" s="123"/>
      <c r="N21" s="123"/>
      <c r="O21" s="163"/>
      <c r="BA21" s="31">
        <v>10</v>
      </c>
      <c r="BB21" s="31">
        <v>12</v>
      </c>
      <c r="BC21" s="31">
        <v>0.83333333333333337</v>
      </c>
      <c r="BE21" s="31">
        <v>50.833333333333336</v>
      </c>
      <c r="BF21" s="31">
        <v>0.7</v>
      </c>
      <c r="BG21" s="31">
        <v>0.85699999999999998</v>
      </c>
      <c r="BH21" s="31">
        <v>0.82399999999999995</v>
      </c>
      <c r="BI21" s="31">
        <v>0.84399999999999997</v>
      </c>
      <c r="BJ21" s="31">
        <v>0.86399999999999999</v>
      </c>
      <c r="BK21" s="31">
        <v>0.88500000000000001</v>
      </c>
      <c r="BL21" s="31">
        <v>0.90600000000000003</v>
      </c>
      <c r="BM21" s="31">
        <v>0.92800000000000005</v>
      </c>
      <c r="BN21" s="31">
        <v>0.95</v>
      </c>
      <c r="BO21" s="31">
        <v>0.97299999999999998</v>
      </c>
      <c r="BP21" s="31">
        <v>0.996</v>
      </c>
    </row>
    <row r="22" spans="2:68" x14ac:dyDescent="0.25">
      <c r="B22" s="170"/>
      <c r="C22" s="123"/>
      <c r="D22" s="123"/>
      <c r="E22" s="123"/>
      <c r="F22" s="123"/>
      <c r="G22" s="123"/>
      <c r="H22" s="123"/>
      <c r="I22" s="123"/>
      <c r="J22" s="123"/>
      <c r="K22" s="123"/>
      <c r="L22" s="123"/>
      <c r="M22" s="123"/>
      <c r="N22" s="123"/>
      <c r="O22" s="163"/>
      <c r="P22" s="31">
        <v>43555</v>
      </c>
      <c r="BA22" s="31">
        <v>11</v>
      </c>
      <c r="BB22" s="31">
        <v>12</v>
      </c>
      <c r="BC22" s="31">
        <v>0.91666666666666663</v>
      </c>
      <c r="BE22" s="31">
        <v>50.916666666666664</v>
      </c>
      <c r="BF22" s="31">
        <v>0.70199999999999996</v>
      </c>
      <c r="BG22" s="31">
        <v>0.85799999999999998</v>
      </c>
      <c r="BH22" s="31">
        <v>0.82599999999999996</v>
      </c>
      <c r="BI22" s="31">
        <v>0.84499999999999997</v>
      </c>
      <c r="BJ22" s="31">
        <v>0.86599999999999999</v>
      </c>
      <c r="BK22" s="31">
        <v>0.88600000000000001</v>
      </c>
      <c r="BL22" s="31">
        <v>0.90800000000000003</v>
      </c>
      <c r="BM22" s="31">
        <v>0.93</v>
      </c>
      <c r="BN22" s="31">
        <v>0.95199999999999996</v>
      </c>
      <c r="BO22" s="31">
        <v>0.97499999999999998</v>
      </c>
      <c r="BP22" s="31">
        <v>0.998</v>
      </c>
    </row>
    <row r="23" spans="2:68" ht="18.75" x14ac:dyDescent="0.3">
      <c r="B23" s="190" t="s">
        <v>151</v>
      </c>
      <c r="C23" s="140"/>
      <c r="D23" s="140"/>
      <c r="E23" s="140"/>
      <c r="F23" s="140"/>
      <c r="G23" s="140"/>
      <c r="H23" s="140"/>
      <c r="I23" s="140"/>
      <c r="J23" s="140"/>
      <c r="K23" s="140"/>
      <c r="L23" s="140"/>
      <c r="M23" s="140"/>
      <c r="N23" s="140"/>
      <c r="O23" s="163"/>
      <c r="BE23" s="31">
        <v>51</v>
      </c>
      <c r="BF23" s="31">
        <v>0.70399999999999996</v>
      </c>
      <c r="BG23" s="31">
        <v>0.85899999999999999</v>
      </c>
    </row>
    <row r="24" spans="2:68" ht="19.5" thickBot="1" x14ac:dyDescent="0.35">
      <c r="B24" s="162"/>
      <c r="C24" s="140"/>
      <c r="D24" s="140"/>
      <c r="E24" s="140"/>
      <c r="F24" s="140"/>
      <c r="G24" s="140"/>
      <c r="H24" s="140"/>
      <c r="I24" s="140"/>
      <c r="J24" s="140"/>
      <c r="K24" s="140"/>
      <c r="L24" s="140"/>
      <c r="M24" s="196" t="s">
        <v>5</v>
      </c>
      <c r="N24" s="140"/>
      <c r="O24" s="163"/>
      <c r="P24" s="31" t="e">
        <f>(M22-P22)*#REF!</f>
        <v>#REF!</v>
      </c>
      <c r="R24" s="31">
        <f>YEAR(M22)-YEAR(P22)</f>
        <v>-119</v>
      </c>
      <c r="S24" s="31" t="e">
        <f>P24-(R24*365)</f>
        <v>#REF!</v>
      </c>
      <c r="BE24" s="31">
        <v>51.083333333333336</v>
      </c>
      <c r="BF24" s="31">
        <v>0.70599999999999996</v>
      </c>
      <c r="BG24" s="31">
        <v>0.86</v>
      </c>
    </row>
    <row r="25" spans="2:68" ht="20.25" thickTop="1" thickBot="1" x14ac:dyDescent="0.35">
      <c r="B25" s="162" t="s">
        <v>152</v>
      </c>
      <c r="C25" s="140"/>
      <c r="D25" s="140"/>
      <c r="E25" s="140"/>
      <c r="F25" s="140"/>
      <c r="G25" s="140"/>
      <c r="H25" s="140"/>
      <c r="I25" s="140"/>
      <c r="J25" s="140"/>
      <c r="K25" s="140"/>
      <c r="L25" s="140"/>
      <c r="M25" s="182">
        <v>60</v>
      </c>
      <c r="N25" s="140"/>
      <c r="O25" s="163"/>
      <c r="BE25" s="31">
        <v>51.166666666666664</v>
      </c>
      <c r="BF25" s="31">
        <v>0.70799999999999996</v>
      </c>
      <c r="BG25" s="31">
        <v>0.86199999999999999</v>
      </c>
    </row>
    <row r="26" spans="2:68" ht="20.25" thickTop="1" thickBot="1" x14ac:dyDescent="0.35">
      <c r="B26" s="162"/>
      <c r="C26" s="140"/>
      <c r="D26" s="140"/>
      <c r="E26" s="140"/>
      <c r="F26" s="140"/>
      <c r="G26" s="140"/>
      <c r="H26" s="140"/>
      <c r="I26" s="140"/>
      <c r="J26" s="140"/>
      <c r="K26" s="140"/>
      <c r="L26" s="140"/>
      <c r="M26" s="140"/>
      <c r="N26" s="140"/>
      <c r="O26" s="163"/>
      <c r="BE26" s="31">
        <v>51.25</v>
      </c>
      <c r="BF26" s="31">
        <v>0.71</v>
      </c>
      <c r="BG26" s="31">
        <v>0.86299999999999999</v>
      </c>
    </row>
    <row r="27" spans="2:68" ht="20.25" thickTop="1" thickBot="1" x14ac:dyDescent="0.35">
      <c r="B27" s="189" t="s">
        <v>153</v>
      </c>
      <c r="C27" s="140"/>
      <c r="D27" s="140"/>
      <c r="E27" s="140"/>
      <c r="F27" s="140"/>
      <c r="G27" s="140"/>
      <c r="H27" s="140"/>
      <c r="I27" s="140"/>
      <c r="J27" s="140"/>
      <c r="K27" s="140"/>
      <c r="L27" s="140"/>
      <c r="M27" s="183">
        <v>40000</v>
      </c>
      <c r="N27" s="140" t="s">
        <v>57</v>
      </c>
      <c r="O27" s="163"/>
      <c r="BE27" s="31">
        <v>51.333333333333336</v>
      </c>
      <c r="BF27" s="31">
        <v>0.71199999999999997</v>
      </c>
      <c r="BG27" s="31">
        <v>0.86399999999999999</v>
      </c>
    </row>
    <row r="28" spans="2:68" ht="15.75" thickTop="1" x14ac:dyDescent="0.25">
      <c r="B28" s="170"/>
      <c r="C28" s="123"/>
      <c r="D28" s="123"/>
      <c r="E28" s="123"/>
      <c r="F28" s="123"/>
      <c r="G28" s="123"/>
      <c r="H28" s="123"/>
      <c r="I28" s="123"/>
      <c r="J28" s="123"/>
      <c r="K28" s="123"/>
      <c r="L28" s="123"/>
      <c r="M28" s="123"/>
      <c r="N28" s="123"/>
      <c r="O28" s="163"/>
      <c r="BE28" s="31">
        <v>51.416666666666664</v>
      </c>
      <c r="BF28" s="31">
        <v>0.71399999999999997</v>
      </c>
      <c r="BG28" s="31">
        <v>0.86499999999999999</v>
      </c>
    </row>
    <row r="29" spans="2:68" ht="19.5" thickBot="1" x14ac:dyDescent="0.35">
      <c r="B29" s="162"/>
      <c r="C29" s="140"/>
      <c r="D29" s="140"/>
      <c r="E29" s="140"/>
      <c r="F29" s="140"/>
      <c r="G29" s="140"/>
      <c r="H29" s="140"/>
      <c r="I29" s="140"/>
      <c r="J29" s="140"/>
      <c r="K29" s="140"/>
      <c r="L29" s="140"/>
      <c r="M29" s="196" t="s">
        <v>32</v>
      </c>
      <c r="N29" s="196" t="s">
        <v>33</v>
      </c>
      <c r="O29" s="163"/>
      <c r="BE29" s="31">
        <v>51.5</v>
      </c>
      <c r="BF29" s="31">
        <v>0.71599999999999997</v>
      </c>
      <c r="BG29" s="31">
        <v>0.86699999999999999</v>
      </c>
    </row>
    <row r="30" spans="2:68" ht="20.25" thickTop="1" thickBot="1" x14ac:dyDescent="0.35">
      <c r="B30" s="162" t="s">
        <v>97</v>
      </c>
      <c r="C30" s="140"/>
      <c r="D30" s="140"/>
      <c r="E30" s="140"/>
      <c r="F30" s="140"/>
      <c r="G30" s="140"/>
      <c r="H30" s="140"/>
      <c r="I30" s="140"/>
      <c r="J30" s="140"/>
      <c r="K30" s="140"/>
      <c r="L30" s="140"/>
      <c r="M30" s="182">
        <f>Sheet2!L36</f>
        <v>67</v>
      </c>
      <c r="N30" s="182">
        <f>Sheet2!M36</f>
        <v>0</v>
      </c>
      <c r="O30" s="163"/>
      <c r="BE30" s="31">
        <v>51.583333333333336</v>
      </c>
      <c r="BF30" s="31">
        <v>0.71799999999999997</v>
      </c>
      <c r="BG30" s="31">
        <v>0.86799999999999999</v>
      </c>
    </row>
    <row r="31" spans="2:68" ht="19.5" thickTop="1" x14ac:dyDescent="0.3">
      <c r="B31" s="162"/>
      <c r="C31" s="140"/>
      <c r="D31" s="140"/>
      <c r="E31" s="140"/>
      <c r="F31" s="140"/>
      <c r="G31" s="140"/>
      <c r="H31" s="140"/>
      <c r="I31" s="140"/>
      <c r="J31" s="140"/>
      <c r="K31" s="140"/>
      <c r="L31" s="140"/>
      <c r="M31" s="140"/>
      <c r="N31" s="140"/>
      <c r="O31" s="163"/>
      <c r="BE31" s="31">
        <v>51.666666666666664</v>
      </c>
      <c r="BF31" s="31">
        <v>0.72</v>
      </c>
      <c r="BG31" s="31">
        <v>0.86899999999999999</v>
      </c>
    </row>
    <row r="32" spans="2:68" ht="18.75" x14ac:dyDescent="0.3">
      <c r="B32" s="162"/>
      <c r="C32" s="140"/>
      <c r="D32" s="140"/>
      <c r="E32" s="140"/>
      <c r="F32" s="140"/>
      <c r="G32" s="140"/>
      <c r="H32" s="140"/>
      <c r="I32" s="140"/>
      <c r="J32" s="140"/>
      <c r="K32" s="140"/>
      <c r="L32" s="140"/>
      <c r="M32" s="140"/>
      <c r="N32" s="140"/>
      <c r="O32" s="163"/>
      <c r="BE32" s="31">
        <v>51.75</v>
      </c>
      <c r="BF32" s="31">
        <v>0.72199999999999998</v>
      </c>
      <c r="BG32" s="31">
        <v>0.87</v>
      </c>
    </row>
    <row r="33" spans="2:59" ht="18.75" x14ac:dyDescent="0.3">
      <c r="B33" s="162" t="s">
        <v>98</v>
      </c>
      <c r="C33" s="140"/>
      <c r="D33" s="140"/>
      <c r="E33" s="140"/>
      <c r="F33" s="140"/>
      <c r="G33" s="140"/>
      <c r="H33" s="140"/>
      <c r="I33" s="140"/>
      <c r="J33" s="140"/>
      <c r="K33" s="140"/>
      <c r="L33" s="140"/>
      <c r="M33" s="140"/>
      <c r="N33" s="140"/>
      <c r="O33" s="163"/>
      <c r="BE33" s="31">
        <v>51.833333333333336</v>
      </c>
      <c r="BF33" s="31">
        <v>0.72399999999999998</v>
      </c>
      <c r="BG33" s="31">
        <v>0.871</v>
      </c>
    </row>
    <row r="34" spans="2:59" ht="15.75" thickBot="1" x14ac:dyDescent="0.3">
      <c r="B34" s="171"/>
      <c r="C34" s="166"/>
      <c r="D34" s="166"/>
      <c r="E34" s="166"/>
      <c r="F34" s="166"/>
      <c r="G34" s="166"/>
      <c r="H34" s="166"/>
      <c r="I34" s="166"/>
      <c r="J34" s="166"/>
      <c r="K34" s="166"/>
      <c r="L34" s="166"/>
      <c r="M34" s="166"/>
      <c r="N34" s="166"/>
      <c r="O34" s="167"/>
      <c r="BE34" s="31">
        <v>51.916666666666664</v>
      </c>
      <c r="BF34" s="31">
        <v>0.72599999999999998</v>
      </c>
      <c r="BG34" s="31">
        <v>0.873</v>
      </c>
    </row>
    <row r="35" spans="2:59" ht="15.75" thickTop="1" x14ac:dyDescent="0.25">
      <c r="B35" s="168"/>
      <c r="C35" s="160"/>
      <c r="D35" s="160"/>
      <c r="E35" s="160"/>
      <c r="F35" s="160"/>
      <c r="G35" s="160"/>
      <c r="H35" s="160"/>
      <c r="I35" s="160"/>
      <c r="J35" s="160"/>
      <c r="K35" s="160"/>
      <c r="L35" s="160"/>
      <c r="M35" s="160"/>
      <c r="N35" s="160"/>
      <c r="O35" s="161"/>
      <c r="BE35" s="31">
        <v>52</v>
      </c>
      <c r="BF35" s="31">
        <v>0.72799999999999998</v>
      </c>
      <c r="BG35" s="31">
        <v>0.874</v>
      </c>
    </row>
    <row r="36" spans="2:59" ht="21" x14ac:dyDescent="0.35">
      <c r="B36" s="169" t="s">
        <v>99</v>
      </c>
      <c r="C36" s="123"/>
      <c r="D36" s="123"/>
      <c r="E36" s="123"/>
      <c r="F36" s="123"/>
      <c r="G36" s="123"/>
      <c r="H36" s="123"/>
      <c r="I36" s="123"/>
      <c r="J36" s="123"/>
      <c r="K36" s="123"/>
      <c r="L36" s="123"/>
      <c r="M36" s="123"/>
      <c r="N36" s="123"/>
      <c r="O36" s="163"/>
      <c r="BE36" s="31">
        <v>52.083333333333336</v>
      </c>
      <c r="BF36" s="31">
        <v>0.73</v>
      </c>
      <c r="BG36" s="31">
        <v>0.875</v>
      </c>
    </row>
    <row r="37" spans="2:59" x14ac:dyDescent="0.25">
      <c r="B37" s="170"/>
      <c r="C37" s="123"/>
      <c r="D37" s="123"/>
      <c r="E37" s="123"/>
      <c r="F37" s="123"/>
      <c r="G37" s="123"/>
      <c r="H37" s="123"/>
      <c r="I37" s="123"/>
      <c r="J37" s="123"/>
      <c r="K37" s="123"/>
      <c r="L37" s="123"/>
      <c r="M37" s="123"/>
      <c r="N37" s="123"/>
      <c r="O37" s="163"/>
      <c r="BE37" s="31">
        <v>52.166666666666664</v>
      </c>
      <c r="BF37" s="31">
        <v>0.73199999999999998</v>
      </c>
      <c r="BG37" s="31">
        <v>0.876</v>
      </c>
    </row>
    <row r="38" spans="2:59" ht="18.75" x14ac:dyDescent="0.3">
      <c r="B38" s="162" t="s">
        <v>100</v>
      </c>
      <c r="C38" s="140"/>
      <c r="D38" s="140"/>
      <c r="E38" s="140"/>
      <c r="F38" s="140"/>
      <c r="G38" s="140"/>
      <c r="H38" s="140"/>
      <c r="I38" s="140"/>
      <c r="J38" s="140"/>
      <c r="K38" s="140"/>
      <c r="L38" s="140"/>
      <c r="M38" s="140"/>
      <c r="N38" s="140"/>
      <c r="O38" s="163"/>
      <c r="BE38" s="31">
        <v>52.25</v>
      </c>
      <c r="BF38" s="31">
        <v>0.73499999999999999</v>
      </c>
      <c r="BG38" s="31">
        <v>0.878</v>
      </c>
    </row>
    <row r="39" spans="2:59" ht="18.75" x14ac:dyDescent="0.3">
      <c r="B39" s="162"/>
      <c r="C39" s="140" t="s">
        <v>101</v>
      </c>
      <c r="D39" s="140"/>
      <c r="E39" s="140"/>
      <c r="F39" s="140"/>
      <c r="G39" s="140" t="s">
        <v>102</v>
      </c>
      <c r="H39" s="140"/>
      <c r="I39" s="140"/>
      <c r="J39" s="140"/>
      <c r="K39" s="140"/>
      <c r="L39" s="140" t="s">
        <v>103</v>
      </c>
      <c r="M39" s="140"/>
      <c r="N39" s="140"/>
      <c r="O39" s="163"/>
      <c r="BE39" s="31">
        <v>52.333333333333336</v>
      </c>
      <c r="BF39" s="31">
        <v>0.73699999999999999</v>
      </c>
      <c r="BG39" s="31">
        <v>0.879</v>
      </c>
    </row>
    <row r="40" spans="2:59" ht="19.5" thickBot="1" x14ac:dyDescent="0.35">
      <c r="B40" s="162"/>
      <c r="C40" s="140"/>
      <c r="D40" s="140"/>
      <c r="E40" s="140"/>
      <c r="F40" s="140"/>
      <c r="G40" s="140"/>
      <c r="H40" s="140"/>
      <c r="I40" s="140"/>
      <c r="J40" s="140"/>
      <c r="K40" s="140"/>
      <c r="L40" s="140"/>
      <c r="M40" s="140"/>
      <c r="N40" s="140"/>
      <c r="O40" s="163"/>
      <c r="BE40" s="31">
        <v>52.416666666666664</v>
      </c>
      <c r="BF40" s="31">
        <v>0.73899999999999999</v>
      </c>
      <c r="BG40" s="31">
        <v>0.88</v>
      </c>
    </row>
    <row r="41" spans="2:59" ht="20.25" thickTop="1" thickBot="1" x14ac:dyDescent="0.35">
      <c r="B41" s="162"/>
      <c r="C41" s="140" t="s">
        <v>104</v>
      </c>
      <c r="D41" s="140"/>
      <c r="E41" s="172">
        <f>IF(M19="no",IF(M30&lt;60, X16,V16),IF(M30&lt;55, X16, V16))</f>
        <v>0</v>
      </c>
      <c r="F41" s="140"/>
      <c r="G41" s="140" t="s">
        <v>104</v>
      </c>
      <c r="H41" s="140"/>
      <c r="I41" s="172">
        <f ca="1">'2015 Calculator Age 67'!K36</f>
        <v>5587.9639856071844</v>
      </c>
      <c r="J41" s="140"/>
      <c r="K41" s="140"/>
      <c r="L41" s="140" t="s">
        <v>104</v>
      </c>
      <c r="M41" s="140"/>
      <c r="N41" s="172">
        <f ca="1">E41+I41</f>
        <v>5587.9639856071844</v>
      </c>
      <c r="O41" s="163"/>
      <c r="BE41" s="31">
        <v>52.5</v>
      </c>
      <c r="BF41" s="31">
        <v>0.74099999999999999</v>
      </c>
      <c r="BG41" s="31">
        <v>0.88100000000000001</v>
      </c>
    </row>
    <row r="42" spans="2:59" ht="20.25" thickTop="1" thickBot="1" x14ac:dyDescent="0.35">
      <c r="B42" s="162"/>
      <c r="C42" s="140"/>
      <c r="D42" s="140"/>
      <c r="E42" s="173"/>
      <c r="F42" s="140"/>
      <c r="G42" s="140"/>
      <c r="H42" s="140"/>
      <c r="I42" s="140"/>
      <c r="J42" s="140"/>
      <c r="K42" s="140"/>
      <c r="L42" s="140"/>
      <c r="M42" s="140"/>
      <c r="N42" s="173"/>
      <c r="O42" s="163"/>
      <c r="BE42" s="31">
        <v>52.583333333333336</v>
      </c>
      <c r="BF42" s="31">
        <v>0.74299999999999999</v>
      </c>
      <c r="BG42" s="31">
        <v>0.88300000000000001</v>
      </c>
    </row>
    <row r="43" spans="2:59" ht="20.25" thickTop="1" thickBot="1" x14ac:dyDescent="0.35">
      <c r="B43" s="162"/>
      <c r="C43" s="140" t="s">
        <v>105</v>
      </c>
      <c r="D43" s="140"/>
      <c r="E43" s="172">
        <f>IF(M19="no",IF(M30&lt;60, X18,V18),IF(M30&lt;55, X18, V18))</f>
        <v>0</v>
      </c>
      <c r="F43" s="140"/>
      <c r="G43" s="140"/>
      <c r="H43" s="140"/>
      <c r="I43" s="140"/>
      <c r="J43" s="140"/>
      <c r="K43" s="140"/>
      <c r="L43" s="140" t="s">
        <v>105</v>
      </c>
      <c r="M43" s="140"/>
      <c r="N43" s="172">
        <f>E43</f>
        <v>0</v>
      </c>
      <c r="O43" s="163"/>
      <c r="BE43" s="31">
        <v>52.666666666666664</v>
      </c>
      <c r="BF43" s="31">
        <v>0.745</v>
      </c>
      <c r="BG43" s="31">
        <v>0.88400000000000001</v>
      </c>
    </row>
    <row r="44" spans="2:59" ht="19.5" thickTop="1" x14ac:dyDescent="0.3">
      <c r="B44" s="162"/>
      <c r="C44" s="140"/>
      <c r="D44" s="140"/>
      <c r="E44" s="173"/>
      <c r="F44" s="140"/>
      <c r="G44" s="140"/>
      <c r="H44" s="140"/>
      <c r="I44" s="140"/>
      <c r="J44" s="140"/>
      <c r="K44" s="140"/>
      <c r="L44" s="140"/>
      <c r="M44" s="140"/>
      <c r="N44" s="140"/>
      <c r="O44" s="163"/>
      <c r="BE44" s="31">
        <v>52.75</v>
      </c>
      <c r="BF44" s="31">
        <v>0.748</v>
      </c>
      <c r="BG44" s="31">
        <v>0.88500000000000001</v>
      </c>
    </row>
    <row r="45" spans="2:59" ht="19.5" thickBot="1" x14ac:dyDescent="0.35">
      <c r="B45" s="162"/>
      <c r="C45" s="140"/>
      <c r="D45" s="140"/>
      <c r="E45" s="173"/>
      <c r="F45" s="140"/>
      <c r="G45" s="140"/>
      <c r="H45" s="140"/>
      <c r="I45" s="140"/>
      <c r="J45" s="140"/>
      <c r="K45" s="140"/>
      <c r="L45" s="140"/>
      <c r="M45" s="140"/>
      <c r="N45" s="140"/>
      <c r="O45" s="163"/>
      <c r="BE45" s="31">
        <v>52.833333333333336</v>
      </c>
      <c r="BF45" s="31">
        <v>0.75</v>
      </c>
      <c r="BG45" s="31">
        <v>0.88600000000000001</v>
      </c>
    </row>
    <row r="46" spans="2:59" ht="20.25" thickTop="1" thickBot="1" x14ac:dyDescent="0.35">
      <c r="B46" s="162"/>
      <c r="C46" s="140" t="s">
        <v>106</v>
      </c>
      <c r="D46" s="140"/>
      <c r="E46" s="184">
        <f ca="1">((N41*20)+N43)/1073100</f>
        <v>0.10414619300358186</v>
      </c>
      <c r="F46" s="140"/>
      <c r="G46" s="140"/>
      <c r="H46" s="140"/>
      <c r="I46" s="140"/>
      <c r="J46" s="140"/>
      <c r="K46" s="140"/>
      <c r="L46" s="140"/>
      <c r="M46" s="140"/>
      <c r="N46" s="140"/>
      <c r="O46" s="163"/>
      <c r="R46" s="31">
        <f>ROUNDDOWN(((E41*30/7)-(E43*9/14))/12,0)</f>
        <v>0</v>
      </c>
      <c r="BE46" s="31">
        <v>52.916666666666664</v>
      </c>
      <c r="BF46" s="31">
        <v>0.752</v>
      </c>
      <c r="BG46" s="31">
        <v>0.88700000000000001</v>
      </c>
    </row>
    <row r="47" spans="2:59" ht="16.5" thickTop="1" thickBot="1" x14ac:dyDescent="0.3">
      <c r="B47" s="171"/>
      <c r="C47" s="166"/>
      <c r="D47" s="166"/>
      <c r="E47" s="166"/>
      <c r="F47" s="166"/>
      <c r="G47" s="166"/>
      <c r="H47" s="166"/>
      <c r="I47" s="166"/>
      <c r="J47" s="166"/>
      <c r="K47" s="166"/>
      <c r="L47" s="166"/>
      <c r="M47" s="166"/>
      <c r="N47" s="166"/>
      <c r="O47" s="167"/>
      <c r="BE47" s="31">
        <v>53</v>
      </c>
      <c r="BF47" s="31">
        <v>0.754</v>
      </c>
      <c r="BG47" s="31">
        <v>0.88900000000000001</v>
      </c>
    </row>
    <row r="48" spans="2:59" ht="15.75" thickTop="1" x14ac:dyDescent="0.25">
      <c r="B48" s="168"/>
      <c r="C48" s="160"/>
      <c r="D48" s="160"/>
      <c r="E48" s="160"/>
      <c r="F48" s="160"/>
      <c r="G48" s="160"/>
      <c r="H48" s="160"/>
      <c r="I48" s="160"/>
      <c r="J48" s="160"/>
      <c r="K48" s="160"/>
      <c r="L48" s="160"/>
      <c r="M48" s="160"/>
      <c r="N48" s="160"/>
      <c r="O48" s="161"/>
      <c r="BE48" s="31">
        <v>53.083333333333336</v>
      </c>
      <c r="BF48" s="31">
        <v>0.75600000000000001</v>
      </c>
      <c r="BG48" s="31">
        <v>0.89</v>
      </c>
    </row>
    <row r="49" spans="2:59" ht="21" x14ac:dyDescent="0.35">
      <c r="B49" s="169" t="s">
        <v>107</v>
      </c>
      <c r="C49" s="174"/>
      <c r="D49" s="174"/>
      <c r="E49" s="174"/>
      <c r="F49" s="174"/>
      <c r="G49" s="174"/>
      <c r="H49" s="174"/>
      <c r="I49" s="123"/>
      <c r="J49" s="123"/>
      <c r="K49" s="123"/>
      <c r="L49" s="123"/>
      <c r="M49" s="123"/>
      <c r="N49" s="123"/>
      <c r="O49" s="163"/>
      <c r="BE49" s="31">
        <v>53.166666666666664</v>
      </c>
      <c r="BF49" s="31">
        <v>0.75900000000000001</v>
      </c>
      <c r="BG49" s="31">
        <v>0.89100000000000001</v>
      </c>
    </row>
    <row r="50" spans="2:59" x14ac:dyDescent="0.25">
      <c r="B50" s="170"/>
      <c r="C50" s="123"/>
      <c r="D50" s="123"/>
      <c r="E50" s="123"/>
      <c r="F50" s="123"/>
      <c r="G50" s="123"/>
      <c r="H50" s="123"/>
      <c r="I50" s="123"/>
      <c r="J50" s="123"/>
      <c r="K50" s="123"/>
      <c r="L50" s="123"/>
      <c r="M50" s="123"/>
      <c r="N50" s="123"/>
      <c r="O50" s="163"/>
      <c r="BE50" s="31">
        <v>53.25</v>
      </c>
      <c r="BF50" s="31">
        <v>0.76100000000000001</v>
      </c>
      <c r="BG50" s="31">
        <v>0.89200000000000002</v>
      </c>
    </row>
    <row r="51" spans="2:59" ht="18.75" x14ac:dyDescent="0.3">
      <c r="B51" s="170"/>
      <c r="C51" s="140" t="s">
        <v>101</v>
      </c>
      <c r="D51" s="140"/>
      <c r="E51" s="140"/>
      <c r="F51" s="140"/>
      <c r="G51" s="140" t="s">
        <v>102</v>
      </c>
      <c r="H51" s="140"/>
      <c r="I51" s="140"/>
      <c r="J51" s="140"/>
      <c r="K51" s="140"/>
      <c r="L51" s="140" t="s">
        <v>103</v>
      </c>
      <c r="M51" s="140"/>
      <c r="N51" s="140"/>
      <c r="O51" s="175"/>
      <c r="BE51" s="31">
        <v>53.333333333333336</v>
      </c>
      <c r="BF51" s="31">
        <v>0.76300000000000001</v>
      </c>
      <c r="BG51" s="31">
        <v>0.89400000000000002</v>
      </c>
    </row>
    <row r="52" spans="2:59" ht="19.5" thickBot="1" x14ac:dyDescent="0.35">
      <c r="B52" s="170"/>
      <c r="C52" s="140"/>
      <c r="D52" s="140"/>
      <c r="E52" s="140"/>
      <c r="F52" s="140"/>
      <c r="G52" s="140"/>
      <c r="H52" s="140"/>
      <c r="I52" s="140"/>
      <c r="J52" s="140"/>
      <c r="K52" s="140"/>
      <c r="L52" s="140"/>
      <c r="M52" s="140"/>
      <c r="N52" s="140"/>
      <c r="O52" s="175"/>
      <c r="BE52" s="31">
        <v>53.416666666666664</v>
      </c>
      <c r="BF52" s="31">
        <v>0.76600000000000001</v>
      </c>
      <c r="BG52" s="31">
        <v>0.89500000000000002</v>
      </c>
    </row>
    <row r="53" spans="2:59" ht="20.25" thickTop="1" thickBot="1" x14ac:dyDescent="0.35">
      <c r="B53" s="170"/>
      <c r="C53" s="140" t="s">
        <v>104</v>
      </c>
      <c r="D53" s="140"/>
      <c r="E53" s="172">
        <f>E41-R46</f>
        <v>0</v>
      </c>
      <c r="F53" s="140"/>
      <c r="G53" s="140" t="s">
        <v>104</v>
      </c>
      <c r="H53" s="140"/>
      <c r="I53" s="172">
        <f ca="1">Q62</f>
        <v>3592.9639856071844</v>
      </c>
      <c r="J53" s="140"/>
      <c r="K53" s="140"/>
      <c r="L53" s="140" t="s">
        <v>104</v>
      </c>
      <c r="M53" s="140"/>
      <c r="N53" s="172">
        <f ca="1">E53+I53</f>
        <v>3592.9639856071844</v>
      </c>
      <c r="O53" s="175"/>
      <c r="BE53" s="31">
        <v>53.5</v>
      </c>
      <c r="BF53" s="31">
        <v>0.76800000000000002</v>
      </c>
      <c r="BG53" s="31">
        <v>0.89600000000000002</v>
      </c>
    </row>
    <row r="54" spans="2:59" ht="20.25" thickTop="1" thickBot="1" x14ac:dyDescent="0.35">
      <c r="B54" s="170"/>
      <c r="C54" s="140"/>
      <c r="D54" s="140"/>
      <c r="E54" s="173"/>
      <c r="F54" s="140"/>
      <c r="G54" s="140"/>
      <c r="H54" s="140"/>
      <c r="I54" s="173"/>
      <c r="J54" s="140"/>
      <c r="K54" s="140"/>
      <c r="L54" s="140"/>
      <c r="M54" s="140"/>
      <c r="N54" s="173"/>
      <c r="O54" s="175"/>
      <c r="BE54" s="31">
        <v>53.583333333333336</v>
      </c>
      <c r="BF54" s="31">
        <v>0.77</v>
      </c>
      <c r="BG54" s="31">
        <v>0.89800000000000002</v>
      </c>
    </row>
    <row r="55" spans="2:59" ht="20.25" thickTop="1" thickBot="1" x14ac:dyDescent="0.35">
      <c r="B55" s="170"/>
      <c r="C55" s="140" t="s">
        <v>105</v>
      </c>
      <c r="D55" s="140"/>
      <c r="E55" s="172">
        <f>E43+(R46*12)</f>
        <v>0</v>
      </c>
      <c r="F55" s="140"/>
      <c r="G55" s="140" t="s">
        <v>105</v>
      </c>
      <c r="H55" s="140"/>
      <c r="I55" s="172">
        <f ca="1">Q61</f>
        <v>23940</v>
      </c>
      <c r="J55" s="140"/>
      <c r="K55" s="140"/>
      <c r="L55" s="140" t="s">
        <v>105</v>
      </c>
      <c r="M55" s="140"/>
      <c r="N55" s="172">
        <f ca="1">E55+I55</f>
        <v>23940</v>
      </c>
      <c r="O55" s="175"/>
      <c r="BE55" s="31">
        <v>53.666666666666664</v>
      </c>
      <c r="BF55" s="31">
        <v>0.77300000000000002</v>
      </c>
      <c r="BG55" s="31">
        <v>0.89900000000000002</v>
      </c>
    </row>
    <row r="56" spans="2:59" ht="19.5" thickTop="1" x14ac:dyDescent="0.3">
      <c r="B56" s="170"/>
      <c r="C56" s="140"/>
      <c r="D56" s="140"/>
      <c r="E56" s="173"/>
      <c r="F56" s="140"/>
      <c r="G56" s="140"/>
      <c r="H56" s="140"/>
      <c r="I56" s="140"/>
      <c r="J56" s="140"/>
      <c r="K56" s="140"/>
      <c r="L56" s="140"/>
      <c r="M56" s="140"/>
      <c r="N56" s="140"/>
      <c r="O56" s="175"/>
      <c r="BE56" s="31">
        <v>53.75</v>
      </c>
      <c r="BF56" s="31">
        <v>0.77500000000000002</v>
      </c>
      <c r="BG56" s="31">
        <v>0.9</v>
      </c>
    </row>
    <row r="57" spans="2:59" ht="19.5" thickBot="1" x14ac:dyDescent="0.35">
      <c r="B57" s="170"/>
      <c r="C57" s="140"/>
      <c r="D57" s="140"/>
      <c r="E57" s="173"/>
      <c r="F57" s="140"/>
      <c r="G57" s="140"/>
      <c r="H57" s="140"/>
      <c r="I57" s="140"/>
      <c r="J57" s="140"/>
      <c r="K57" s="140"/>
      <c r="L57" s="140"/>
      <c r="M57" s="140"/>
      <c r="N57" s="140"/>
      <c r="O57" s="175"/>
      <c r="BE57" s="31">
        <v>53.833333333333336</v>
      </c>
      <c r="BF57" s="31">
        <v>0.77700000000000002</v>
      </c>
      <c r="BG57" s="31">
        <v>0.90100000000000002</v>
      </c>
    </row>
    <row r="58" spans="2:59" ht="20.25" thickTop="1" thickBot="1" x14ac:dyDescent="0.35">
      <c r="B58" s="170"/>
      <c r="C58" s="140" t="s">
        <v>106</v>
      </c>
      <c r="D58" s="140"/>
      <c r="E58" s="184">
        <f ca="1">((N53*20)+N55)/1073100</f>
        <v>8.9273394569139589E-2</v>
      </c>
      <c r="F58" s="140"/>
      <c r="G58" s="140"/>
      <c r="H58" s="140"/>
      <c r="I58" s="140"/>
      <c r="J58" s="140"/>
      <c r="K58" s="140"/>
      <c r="L58" s="140"/>
      <c r="M58" s="140"/>
      <c r="N58" s="140"/>
      <c r="O58" s="175"/>
      <c r="BE58" s="31">
        <v>53.916666666666664</v>
      </c>
      <c r="BF58" s="31">
        <v>0.78</v>
      </c>
      <c r="BG58" s="31">
        <v>0.90300000000000002</v>
      </c>
    </row>
    <row r="59" spans="2:59" ht="20.25" thickTop="1" thickBot="1" x14ac:dyDescent="0.35">
      <c r="B59" s="171"/>
      <c r="C59" s="165"/>
      <c r="D59" s="165"/>
      <c r="E59" s="165"/>
      <c r="F59" s="165"/>
      <c r="G59" s="165"/>
      <c r="H59" s="165"/>
      <c r="I59" s="165"/>
      <c r="J59" s="165"/>
      <c r="K59" s="165"/>
      <c r="L59" s="165"/>
      <c r="M59" s="165"/>
      <c r="N59" s="165"/>
      <c r="O59" s="176"/>
      <c r="R59" s="198">
        <f>G68/12</f>
        <v>0</v>
      </c>
      <c r="BE59" s="31">
        <v>54</v>
      </c>
      <c r="BF59" s="31">
        <v>0.78200000000000003</v>
      </c>
      <c r="BG59" s="31">
        <v>0.90400000000000003</v>
      </c>
    </row>
    <row r="60" spans="2:59" ht="19.5" thickTop="1" x14ac:dyDescent="0.3">
      <c r="B60" s="168"/>
      <c r="C60" s="177"/>
      <c r="D60" s="177"/>
      <c r="E60" s="177"/>
      <c r="F60" s="177"/>
      <c r="G60" s="177"/>
      <c r="H60" s="177"/>
      <c r="I60" s="177"/>
      <c r="J60" s="177"/>
      <c r="K60" s="177"/>
      <c r="L60" s="177"/>
      <c r="M60" s="177"/>
      <c r="N60" s="177"/>
      <c r="O60" s="178"/>
      <c r="Q60" s="31">
        <f ca="1">ROUNDDOWN(I41*(20/4.666)/12,0)</f>
        <v>1995</v>
      </c>
      <c r="BE60" s="31">
        <v>54.083333333333336</v>
      </c>
      <c r="BF60" s="31">
        <v>0.78500000000000003</v>
      </c>
      <c r="BG60" s="31">
        <v>0.90500000000000003</v>
      </c>
    </row>
    <row r="61" spans="2:59" ht="21" x14ac:dyDescent="0.35">
      <c r="B61" s="169" t="s">
        <v>108</v>
      </c>
      <c r="C61" s="174"/>
      <c r="D61" s="174"/>
      <c r="E61" s="174"/>
      <c r="F61" s="174"/>
      <c r="G61" s="174"/>
      <c r="H61" s="174"/>
      <c r="I61" s="140"/>
      <c r="J61" s="140"/>
      <c r="K61" s="140"/>
      <c r="L61" s="140"/>
      <c r="M61" s="140"/>
      <c r="N61" s="140"/>
      <c r="O61" s="175"/>
      <c r="Q61" s="31">
        <f ca="1">ROUNDDOWN(Q60,0)*12</f>
        <v>23940</v>
      </c>
      <c r="BE61" s="31">
        <v>54.166666666666664</v>
      </c>
      <c r="BF61" s="31">
        <v>0.78700000000000003</v>
      </c>
      <c r="BG61" s="31">
        <v>0.90600000000000003</v>
      </c>
    </row>
    <row r="62" spans="2:59" ht="18.75" x14ac:dyDescent="0.3">
      <c r="B62" s="170"/>
      <c r="C62" s="140"/>
      <c r="D62" s="140"/>
      <c r="E62" s="140"/>
      <c r="F62" s="140"/>
      <c r="G62" s="140"/>
      <c r="H62" s="140"/>
      <c r="I62" s="140"/>
      <c r="J62" s="140"/>
      <c r="K62" s="140"/>
      <c r="L62" s="140"/>
      <c r="M62" s="140"/>
      <c r="N62" s="140"/>
      <c r="O62" s="175"/>
      <c r="Q62" s="198">
        <f ca="1">I41-Q60</f>
        <v>3592.9639856071844</v>
      </c>
      <c r="BE62" s="31">
        <v>54.25</v>
      </c>
      <c r="BF62" s="31">
        <v>0.79</v>
      </c>
      <c r="BG62" s="31">
        <v>0.90800000000000003</v>
      </c>
    </row>
    <row r="63" spans="2:59" ht="18.75" x14ac:dyDescent="0.3">
      <c r="B63" s="179" t="s">
        <v>109</v>
      </c>
      <c r="C63" s="59"/>
      <c r="D63" s="59"/>
      <c r="E63" s="59"/>
      <c r="F63" s="59"/>
      <c r="G63" s="59"/>
      <c r="H63" s="59"/>
      <c r="I63" s="59"/>
      <c r="J63" s="59"/>
      <c r="K63" s="59"/>
      <c r="L63" s="59"/>
      <c r="M63" s="59"/>
      <c r="N63" s="59"/>
      <c r="O63" s="175"/>
      <c r="BE63" s="31">
        <v>54.333333333333336</v>
      </c>
      <c r="BF63" s="31">
        <v>0.79200000000000004</v>
      </c>
      <c r="BG63" s="31">
        <v>0.90900000000000003</v>
      </c>
    </row>
    <row r="64" spans="2:59" ht="18.75" x14ac:dyDescent="0.3">
      <c r="B64" s="179" t="s">
        <v>110</v>
      </c>
      <c r="C64" s="59"/>
      <c r="D64" s="59"/>
      <c r="E64" s="59"/>
      <c r="F64" s="59"/>
      <c r="G64" s="59"/>
      <c r="H64" s="59"/>
      <c r="I64" s="59"/>
      <c r="J64" s="59"/>
      <c r="K64" s="59"/>
      <c r="L64" s="59"/>
      <c r="M64" s="59"/>
      <c r="N64" s="59"/>
      <c r="O64" s="175"/>
      <c r="BE64" s="31">
        <v>54.416666666666664</v>
      </c>
      <c r="BF64" s="31">
        <v>0.79500000000000004</v>
      </c>
      <c r="BG64" s="31">
        <v>0.91</v>
      </c>
    </row>
    <row r="65" spans="2:59" ht="18.75" x14ac:dyDescent="0.3">
      <c r="B65" s="170"/>
      <c r="C65" s="140"/>
      <c r="D65" s="140"/>
      <c r="E65" s="140"/>
      <c r="F65" s="140"/>
      <c r="G65" s="140"/>
      <c r="H65" s="140"/>
      <c r="I65" s="140"/>
      <c r="J65" s="140"/>
      <c r="K65" s="140"/>
      <c r="L65" s="140"/>
      <c r="M65" s="140"/>
      <c r="N65" s="140"/>
      <c r="O65" s="175"/>
      <c r="BE65" s="31">
        <v>54.5</v>
      </c>
      <c r="BF65" s="31">
        <v>0.79700000000000004</v>
      </c>
      <c r="BG65" s="31">
        <v>0.91100000000000003</v>
      </c>
    </row>
    <row r="66" spans="2:59" ht="18.75" x14ac:dyDescent="0.3">
      <c r="B66" s="170"/>
      <c r="C66" s="140"/>
      <c r="D66" s="140"/>
      <c r="E66" s="140"/>
      <c r="F66" s="140"/>
      <c r="G66" s="140"/>
      <c r="H66" s="140"/>
      <c r="I66" s="140"/>
      <c r="J66" s="140"/>
      <c r="K66" s="140"/>
      <c r="L66" s="140"/>
      <c r="M66" s="140"/>
      <c r="N66" s="140"/>
      <c r="O66" s="175"/>
      <c r="BE66" s="31">
        <v>54.583333333333336</v>
      </c>
      <c r="BF66" s="31">
        <v>0.8</v>
      </c>
      <c r="BG66" s="31">
        <v>0.91300000000000003</v>
      </c>
    </row>
    <row r="67" spans="2:59" ht="19.5" thickBot="1" x14ac:dyDescent="0.35">
      <c r="B67" s="170"/>
      <c r="C67" s="140" t="s">
        <v>111</v>
      </c>
      <c r="D67" s="140"/>
      <c r="E67" s="140"/>
      <c r="F67" s="140"/>
      <c r="G67" s="140" t="s">
        <v>101</v>
      </c>
      <c r="H67" s="140"/>
      <c r="I67" s="140" t="s">
        <v>102</v>
      </c>
      <c r="J67" s="140"/>
      <c r="K67" s="140"/>
      <c r="L67" s="140"/>
      <c r="M67" s="140"/>
      <c r="N67" s="140"/>
      <c r="O67" s="175"/>
      <c r="BE67" s="31">
        <v>54.666666666666664</v>
      </c>
      <c r="BF67" s="31">
        <v>0.80200000000000005</v>
      </c>
      <c r="BG67" s="31">
        <v>0.91400000000000003</v>
      </c>
    </row>
    <row r="68" spans="2:59" ht="20.25" thickTop="1" thickBot="1" x14ac:dyDescent="0.35">
      <c r="B68" s="170"/>
      <c r="C68" s="140"/>
      <c r="D68" s="140"/>
      <c r="E68" s="140"/>
      <c r="F68" s="140"/>
      <c r="G68" s="183">
        <v>0</v>
      </c>
      <c r="H68" s="173"/>
      <c r="I68" s="183">
        <v>600</v>
      </c>
      <c r="J68" s="140"/>
      <c r="K68" s="140"/>
      <c r="L68" s="140"/>
      <c r="M68" s="140"/>
      <c r="N68" s="140"/>
      <c r="O68" s="175"/>
      <c r="BE68" s="31">
        <v>54.75</v>
      </c>
      <c r="BF68" s="31">
        <v>0.80500000000000005</v>
      </c>
      <c r="BG68" s="31">
        <v>0.91500000000000004</v>
      </c>
    </row>
    <row r="69" spans="2:59" ht="19.5" thickTop="1" x14ac:dyDescent="0.3">
      <c r="B69" s="170"/>
      <c r="C69" s="140"/>
      <c r="D69" s="140"/>
      <c r="E69" s="140"/>
      <c r="F69" s="140"/>
      <c r="G69" s="140" t="str">
        <f>IF(G68&gt;R46*12,"Exceeds Maximum Permitted",".")</f>
        <v>.</v>
      </c>
      <c r="H69" s="140"/>
      <c r="I69" s="140" t="str">
        <f ca="1">IF(I68&gt;Q61,"Exceeds Maximum Permitted",".")</f>
        <v>.</v>
      </c>
      <c r="J69" s="140"/>
      <c r="K69" s="140"/>
      <c r="L69" s="140"/>
      <c r="M69" s="140"/>
      <c r="N69" s="140"/>
      <c r="O69" s="175"/>
      <c r="BE69" s="31">
        <v>54.833333333333336</v>
      </c>
      <c r="BF69" s="31">
        <v>0.80700000000000005</v>
      </c>
      <c r="BG69" s="31">
        <v>0.91700000000000004</v>
      </c>
    </row>
    <row r="70" spans="2:59" ht="18.75" x14ac:dyDescent="0.3">
      <c r="B70" s="170"/>
      <c r="C70" s="140"/>
      <c r="D70" s="140"/>
      <c r="E70" s="140"/>
      <c r="F70" s="140"/>
      <c r="G70" s="140"/>
      <c r="H70" s="140"/>
      <c r="I70" s="140"/>
      <c r="J70" s="140"/>
      <c r="K70" s="140"/>
      <c r="L70" s="140"/>
      <c r="M70" s="140"/>
      <c r="N70" s="140"/>
      <c r="O70" s="175"/>
      <c r="BE70" s="31">
        <v>54.916666666666664</v>
      </c>
      <c r="BF70" s="31">
        <v>0.81</v>
      </c>
      <c r="BG70" s="31">
        <v>0.91800000000000004</v>
      </c>
    </row>
    <row r="71" spans="2:59" ht="18.75" x14ac:dyDescent="0.3">
      <c r="B71" s="170"/>
      <c r="C71" s="140" t="s">
        <v>101</v>
      </c>
      <c r="D71" s="140"/>
      <c r="E71" s="140"/>
      <c r="F71" s="140"/>
      <c r="G71" s="140" t="s">
        <v>102</v>
      </c>
      <c r="H71" s="140"/>
      <c r="I71" s="140"/>
      <c r="J71" s="140"/>
      <c r="K71" s="140"/>
      <c r="L71" s="140" t="s">
        <v>103</v>
      </c>
      <c r="M71" s="140"/>
      <c r="N71" s="140"/>
      <c r="O71" s="175"/>
      <c r="BE71" s="31">
        <v>55</v>
      </c>
      <c r="BF71" s="31">
        <v>0.81200000000000006</v>
      </c>
      <c r="BG71" s="31">
        <v>0.91900000000000004</v>
      </c>
    </row>
    <row r="72" spans="2:59" ht="19.5" thickBot="1" x14ac:dyDescent="0.35">
      <c r="B72" s="170"/>
      <c r="C72" s="140"/>
      <c r="D72" s="140"/>
      <c r="E72" s="140"/>
      <c r="F72" s="140"/>
      <c r="G72" s="140"/>
      <c r="H72" s="140"/>
      <c r="I72" s="140"/>
      <c r="J72" s="140"/>
      <c r="K72" s="140"/>
      <c r="L72" s="140"/>
      <c r="M72" s="140"/>
      <c r="N72" s="140"/>
      <c r="O72" s="175"/>
      <c r="R72" s="31">
        <f>I68/12</f>
        <v>50</v>
      </c>
      <c r="BE72" s="31">
        <v>55.083333333333336</v>
      </c>
      <c r="BF72" s="31">
        <v>0.81499999999999995</v>
      </c>
      <c r="BG72" s="31">
        <v>0.92</v>
      </c>
    </row>
    <row r="73" spans="2:59" ht="20.25" thickTop="1" thickBot="1" x14ac:dyDescent="0.35">
      <c r="B73" s="170"/>
      <c r="C73" s="140" t="s">
        <v>104</v>
      </c>
      <c r="D73" s="140"/>
      <c r="E73" s="172">
        <f>IF(G69=".",E41-R59,"Invalid")</f>
        <v>0</v>
      </c>
      <c r="F73" s="140"/>
      <c r="G73" s="140" t="s">
        <v>104</v>
      </c>
      <c r="H73" s="140"/>
      <c r="I73" s="172">
        <f ca="1">IF(G69=".",I41-R72,"Invalid")</f>
        <v>5537.9639856071844</v>
      </c>
      <c r="J73" s="140"/>
      <c r="K73" s="140"/>
      <c r="L73" s="140" t="s">
        <v>104</v>
      </c>
      <c r="M73" s="140"/>
      <c r="N73" s="172">
        <f ca="1">E73+I73</f>
        <v>5537.9639856071844</v>
      </c>
      <c r="O73" s="175"/>
      <c r="BE73" s="31">
        <v>55.166666666666664</v>
      </c>
      <c r="BF73" s="31">
        <v>0.81799999999999995</v>
      </c>
      <c r="BG73" s="31">
        <v>0.92200000000000004</v>
      </c>
    </row>
    <row r="74" spans="2:59" ht="20.25" thickTop="1" thickBot="1" x14ac:dyDescent="0.35">
      <c r="B74" s="170"/>
      <c r="C74" s="140"/>
      <c r="D74" s="140"/>
      <c r="E74" s="173"/>
      <c r="F74" s="140"/>
      <c r="G74" s="140"/>
      <c r="H74" s="140"/>
      <c r="I74" s="173"/>
      <c r="J74" s="140"/>
      <c r="K74" s="140"/>
      <c r="L74" s="140"/>
      <c r="M74" s="140"/>
      <c r="N74" s="173"/>
      <c r="O74" s="175"/>
      <c r="BE74" s="31">
        <v>55.25</v>
      </c>
      <c r="BF74" s="31">
        <v>0.82099999999999995</v>
      </c>
      <c r="BG74" s="31">
        <v>0.92300000000000004</v>
      </c>
    </row>
    <row r="75" spans="2:59" ht="20.25" thickTop="1" thickBot="1" x14ac:dyDescent="0.35">
      <c r="B75" s="170"/>
      <c r="C75" s="140" t="s">
        <v>105</v>
      </c>
      <c r="D75" s="140"/>
      <c r="E75" s="172">
        <f>IF(G69=".",E43+(R59*12),"Invalid")</f>
        <v>0</v>
      </c>
      <c r="F75" s="140"/>
      <c r="G75" s="140" t="s">
        <v>105</v>
      </c>
      <c r="H75" s="140"/>
      <c r="I75" s="172">
        <f ca="1">IF(I69=".",I68,"Invalid")</f>
        <v>600</v>
      </c>
      <c r="J75" s="140"/>
      <c r="K75" s="140"/>
      <c r="L75" s="140" t="s">
        <v>105</v>
      </c>
      <c r="M75" s="140"/>
      <c r="N75" s="172">
        <f ca="1">E75+I75</f>
        <v>600</v>
      </c>
      <c r="O75" s="175"/>
      <c r="BE75" s="31">
        <v>55.333333333333336</v>
      </c>
      <c r="BF75" s="31">
        <v>0.82299999999999995</v>
      </c>
      <c r="BG75" s="31">
        <v>0.92400000000000004</v>
      </c>
    </row>
    <row r="76" spans="2:59" ht="19.5" thickTop="1" x14ac:dyDescent="0.3">
      <c r="B76" s="170"/>
      <c r="C76" s="140"/>
      <c r="D76" s="140"/>
      <c r="E76" s="140"/>
      <c r="F76" s="140"/>
      <c r="G76" s="140"/>
      <c r="H76" s="140"/>
      <c r="I76" s="173"/>
      <c r="J76" s="140"/>
      <c r="K76" s="140"/>
      <c r="L76" s="140"/>
      <c r="M76" s="140"/>
      <c r="N76" s="140"/>
      <c r="O76" s="175"/>
      <c r="BE76" s="31">
        <v>55.416666666666664</v>
      </c>
      <c r="BF76" s="31">
        <v>0.82599999999999996</v>
      </c>
      <c r="BG76" s="31">
        <v>0.92600000000000005</v>
      </c>
    </row>
    <row r="77" spans="2:59" ht="18.75" x14ac:dyDescent="0.3">
      <c r="B77" s="170"/>
      <c r="C77" s="140"/>
      <c r="D77" s="140"/>
      <c r="E77" s="140"/>
      <c r="F77" s="140"/>
      <c r="G77" s="140"/>
      <c r="H77" s="140"/>
      <c r="I77" s="140"/>
      <c r="J77" s="140"/>
      <c r="K77" s="140"/>
      <c r="L77" s="140"/>
      <c r="M77" s="140"/>
      <c r="N77" s="140"/>
      <c r="O77" s="175"/>
      <c r="BE77" s="31">
        <v>55.5</v>
      </c>
      <c r="BF77" s="31">
        <v>0.82899999999999996</v>
      </c>
      <c r="BG77" s="31">
        <v>0.92700000000000005</v>
      </c>
    </row>
    <row r="78" spans="2:59" ht="19.5" thickBot="1" x14ac:dyDescent="0.35">
      <c r="B78" s="185"/>
      <c r="C78" s="13"/>
      <c r="D78" s="13"/>
      <c r="E78" s="13"/>
      <c r="F78" s="13"/>
      <c r="G78" s="13"/>
      <c r="H78" s="13"/>
      <c r="I78" s="13"/>
      <c r="J78" s="13"/>
      <c r="K78" s="13"/>
      <c r="L78" s="13"/>
      <c r="M78" s="13"/>
      <c r="N78" s="13"/>
      <c r="O78" s="188"/>
      <c r="BE78" s="31">
        <v>55.583333333333336</v>
      </c>
      <c r="BF78" s="31">
        <v>0.83099999999999996</v>
      </c>
      <c r="BG78" s="31">
        <v>0.92800000000000005</v>
      </c>
    </row>
    <row r="79" spans="2:59" ht="20.25" thickTop="1" thickBot="1" x14ac:dyDescent="0.35">
      <c r="B79" s="185"/>
      <c r="C79" s="140" t="s">
        <v>106</v>
      </c>
      <c r="D79" s="13"/>
      <c r="E79" s="184">
        <f ca="1">((N73*20)+N75)/1073100</f>
        <v>0.10377344116311964</v>
      </c>
      <c r="F79" s="13"/>
      <c r="G79" s="13"/>
      <c r="H79" s="13"/>
      <c r="I79" s="13"/>
      <c r="J79" s="13"/>
      <c r="K79" s="13"/>
      <c r="L79" s="13"/>
      <c r="M79" s="13"/>
      <c r="N79" s="13"/>
      <c r="O79" s="186"/>
      <c r="BE79" s="31">
        <v>55.666666666666664</v>
      </c>
      <c r="BF79" s="31">
        <v>0.83399999999999996</v>
      </c>
      <c r="BG79" s="31">
        <v>0.93</v>
      </c>
    </row>
    <row r="80" spans="2:59" ht="16.5" thickTop="1" thickBot="1" x14ac:dyDescent="0.3">
      <c r="B80" s="180"/>
      <c r="C80" s="181"/>
      <c r="D80" s="181"/>
      <c r="E80" s="181"/>
      <c r="F80" s="181"/>
      <c r="G80" s="181"/>
      <c r="H80" s="181"/>
      <c r="I80" s="181"/>
      <c r="J80" s="181"/>
      <c r="K80" s="181"/>
      <c r="L80" s="181"/>
      <c r="M80" s="181"/>
      <c r="N80" s="181"/>
      <c r="O80" s="187"/>
      <c r="BE80" s="31">
        <v>55.75</v>
      </c>
      <c r="BF80" s="31">
        <v>0.83699999999999997</v>
      </c>
      <c r="BG80" s="31">
        <v>0.93100000000000005</v>
      </c>
    </row>
    <row r="81" spans="57:59" s="193" customFormat="1" ht="15.75" thickTop="1" x14ac:dyDescent="0.25">
      <c r="BE81" s="193">
        <v>55.833333333333336</v>
      </c>
      <c r="BF81" s="193">
        <v>0.84</v>
      </c>
      <c r="BG81" s="193">
        <v>0.93200000000000005</v>
      </c>
    </row>
    <row r="82" spans="57:59" s="193" customFormat="1" x14ac:dyDescent="0.25">
      <c r="BE82" s="193">
        <v>55.916666666666664</v>
      </c>
      <c r="BF82" s="193">
        <v>0.84199999999999997</v>
      </c>
      <c r="BG82" s="193">
        <v>0.93300000000000005</v>
      </c>
    </row>
    <row r="83" spans="57:59" s="193" customFormat="1" x14ac:dyDescent="0.25">
      <c r="BE83" s="193">
        <v>56</v>
      </c>
      <c r="BF83" s="193">
        <v>0.84499999999999997</v>
      </c>
      <c r="BG83" s="193">
        <v>0.93500000000000005</v>
      </c>
    </row>
    <row r="84" spans="57:59" s="193" customFormat="1" x14ac:dyDescent="0.25">
      <c r="BE84" s="193">
        <v>56.083333333333336</v>
      </c>
      <c r="BF84" s="193">
        <v>0.84799999999999998</v>
      </c>
      <c r="BG84" s="193">
        <v>0.93600000000000005</v>
      </c>
    </row>
    <row r="85" spans="57:59" s="193" customFormat="1" x14ac:dyDescent="0.25">
      <c r="BE85" s="193">
        <v>56.166666666666664</v>
      </c>
      <c r="BF85" s="193">
        <v>0.85099999999999998</v>
      </c>
      <c r="BG85" s="193">
        <v>0.93700000000000006</v>
      </c>
    </row>
    <row r="86" spans="57:59" s="193" customFormat="1" x14ac:dyDescent="0.25">
      <c r="BE86" s="193">
        <v>56.25</v>
      </c>
      <c r="BF86" s="193">
        <v>0.85399999999999998</v>
      </c>
      <c r="BG86" s="193">
        <v>0.93899999999999995</v>
      </c>
    </row>
    <row r="87" spans="57:59" s="193" customFormat="1" x14ac:dyDescent="0.25">
      <c r="BE87" s="193">
        <v>56.333333333333336</v>
      </c>
      <c r="BF87" s="193">
        <v>0.85699999999999998</v>
      </c>
      <c r="BG87" s="193">
        <v>0.94</v>
      </c>
    </row>
    <row r="88" spans="57:59" s="193" customFormat="1" x14ac:dyDescent="0.25">
      <c r="BE88" s="193">
        <v>56.416666666666664</v>
      </c>
      <c r="BF88" s="193">
        <v>0.86</v>
      </c>
      <c r="BG88" s="193">
        <v>0.94099999999999995</v>
      </c>
    </row>
    <row r="89" spans="57:59" s="193" customFormat="1" x14ac:dyDescent="0.25">
      <c r="BE89" s="193">
        <v>56.5</v>
      </c>
      <c r="BF89" s="193">
        <v>0.86299999999999999</v>
      </c>
      <c r="BG89" s="193">
        <v>0.94299999999999995</v>
      </c>
    </row>
    <row r="90" spans="57:59" s="193" customFormat="1" x14ac:dyDescent="0.25">
      <c r="BE90" s="193">
        <v>56.583333333333336</v>
      </c>
      <c r="BF90" s="193">
        <v>0.86499999999999999</v>
      </c>
      <c r="BG90" s="193">
        <v>0.94399999999999995</v>
      </c>
    </row>
    <row r="91" spans="57:59" s="193" customFormat="1" x14ac:dyDescent="0.25">
      <c r="BE91" s="193">
        <v>56.666666666666664</v>
      </c>
      <c r="BF91" s="193">
        <v>0.86799999999999999</v>
      </c>
      <c r="BG91" s="193">
        <v>0.94499999999999995</v>
      </c>
    </row>
    <row r="92" spans="57:59" s="193" customFormat="1" x14ac:dyDescent="0.25">
      <c r="BE92" s="193">
        <v>56.75</v>
      </c>
      <c r="BF92" s="193">
        <v>0.871</v>
      </c>
      <c r="BG92" s="193">
        <v>0.94699999999999995</v>
      </c>
    </row>
    <row r="93" spans="57:59" s="193" customFormat="1" x14ac:dyDescent="0.25">
      <c r="BE93" s="193">
        <v>56.833333333333336</v>
      </c>
      <c r="BF93" s="193">
        <v>0.874</v>
      </c>
      <c r="BG93" s="193">
        <v>0.94799999999999995</v>
      </c>
    </row>
    <row r="94" spans="57:59" s="193" customFormat="1" x14ac:dyDescent="0.25">
      <c r="BE94" s="193">
        <v>56.916666666666664</v>
      </c>
      <c r="BF94" s="193">
        <v>0.877</v>
      </c>
      <c r="BG94" s="193">
        <v>0.94899999999999995</v>
      </c>
    </row>
    <row r="95" spans="57:59" s="193" customFormat="1" x14ac:dyDescent="0.25">
      <c r="BE95" s="193">
        <v>57</v>
      </c>
      <c r="BF95" s="193">
        <v>0.88</v>
      </c>
      <c r="BG95" s="193">
        <v>0.95099999999999996</v>
      </c>
    </row>
    <row r="96" spans="57:59" s="193" customFormat="1" x14ac:dyDescent="0.25">
      <c r="BE96" s="193">
        <v>57.083333333333336</v>
      </c>
      <c r="BF96" s="193">
        <v>0.88300000000000001</v>
      </c>
      <c r="BG96" s="193">
        <v>0.95199999999999996</v>
      </c>
    </row>
    <row r="97" spans="57:59" s="193" customFormat="1" x14ac:dyDescent="0.25">
      <c r="BE97" s="193">
        <v>57.166666666666664</v>
      </c>
      <c r="BF97" s="193">
        <v>0.88600000000000001</v>
      </c>
      <c r="BG97" s="193">
        <v>0.95299999999999996</v>
      </c>
    </row>
    <row r="98" spans="57:59" s="193" customFormat="1" x14ac:dyDescent="0.25">
      <c r="BE98" s="193">
        <v>57.25</v>
      </c>
      <c r="BF98" s="193">
        <v>0.88900000000000001</v>
      </c>
      <c r="BG98" s="193">
        <v>0.95499999999999996</v>
      </c>
    </row>
    <row r="99" spans="57:59" s="193" customFormat="1" x14ac:dyDescent="0.25">
      <c r="BE99" s="193">
        <v>57.333333333333336</v>
      </c>
      <c r="BF99" s="193">
        <v>0.89200000000000002</v>
      </c>
      <c r="BG99" s="193">
        <v>0.95599999999999996</v>
      </c>
    </row>
    <row r="100" spans="57:59" s="193" customFormat="1" x14ac:dyDescent="0.25">
      <c r="BE100" s="193">
        <v>57.416666666666664</v>
      </c>
      <c r="BF100" s="193">
        <v>0.89600000000000002</v>
      </c>
      <c r="BG100" s="193">
        <v>0.95699999999999996</v>
      </c>
    </row>
    <row r="101" spans="57:59" s="193" customFormat="1" x14ac:dyDescent="0.25">
      <c r="BE101" s="193">
        <v>57.5</v>
      </c>
      <c r="BF101" s="193">
        <v>0.89900000000000002</v>
      </c>
      <c r="BG101" s="193">
        <v>0.95899999999999996</v>
      </c>
    </row>
    <row r="102" spans="57:59" s="193" customFormat="1" x14ac:dyDescent="0.25">
      <c r="BE102" s="193">
        <v>57.583333333333336</v>
      </c>
      <c r="BF102" s="193">
        <v>0.90200000000000002</v>
      </c>
      <c r="BG102" s="193">
        <v>0.96</v>
      </c>
    </row>
    <row r="103" spans="57:59" s="193" customFormat="1" x14ac:dyDescent="0.25">
      <c r="BE103" s="193">
        <v>57.666666666666664</v>
      </c>
      <c r="BF103" s="193">
        <v>0.90500000000000003</v>
      </c>
      <c r="BG103" s="193">
        <v>0.96099999999999997</v>
      </c>
    </row>
    <row r="104" spans="57:59" s="193" customFormat="1" x14ac:dyDescent="0.25">
      <c r="BE104" s="193">
        <v>57.75</v>
      </c>
      <c r="BF104" s="193">
        <v>0.90800000000000003</v>
      </c>
      <c r="BG104" s="193">
        <v>0.96299999999999997</v>
      </c>
    </row>
    <row r="105" spans="57:59" s="193" customFormat="1" x14ac:dyDescent="0.25">
      <c r="BE105" s="193">
        <v>57.833333333333336</v>
      </c>
      <c r="BF105" s="193">
        <v>0.91100000000000003</v>
      </c>
      <c r="BG105" s="193">
        <v>0.96399999999999997</v>
      </c>
    </row>
    <row r="106" spans="57:59" s="193" customFormat="1" x14ac:dyDescent="0.25">
      <c r="BE106" s="193">
        <v>57.916666666666664</v>
      </c>
      <c r="BF106" s="193">
        <v>0.91400000000000003</v>
      </c>
      <c r="BG106" s="193">
        <v>0.96599999999999997</v>
      </c>
    </row>
    <row r="107" spans="57:59" s="193" customFormat="1" x14ac:dyDescent="0.25">
      <c r="BE107" s="193">
        <v>58</v>
      </c>
      <c r="BF107" s="193">
        <v>0.91700000000000004</v>
      </c>
      <c r="BG107" s="193">
        <v>0.96699999999999997</v>
      </c>
    </row>
    <row r="108" spans="57:59" s="193" customFormat="1" x14ac:dyDescent="0.25">
      <c r="BE108" s="193">
        <v>58.083333333333336</v>
      </c>
      <c r="BF108" s="193">
        <v>0.92100000000000004</v>
      </c>
      <c r="BG108" s="193">
        <v>0.96799999999999997</v>
      </c>
    </row>
    <row r="109" spans="57:59" s="193" customFormat="1" x14ac:dyDescent="0.25">
      <c r="BE109" s="193">
        <v>58.166666666666664</v>
      </c>
      <c r="BF109" s="193">
        <v>0.92400000000000004</v>
      </c>
      <c r="BG109" s="193">
        <v>0.97</v>
      </c>
    </row>
    <row r="110" spans="57:59" s="193" customFormat="1" x14ac:dyDescent="0.25">
      <c r="BE110" s="193">
        <v>58.25</v>
      </c>
      <c r="BF110" s="193">
        <v>0.92700000000000005</v>
      </c>
      <c r="BG110" s="193">
        <v>0.97099999999999997</v>
      </c>
    </row>
    <row r="111" spans="57:59" s="193" customFormat="1" x14ac:dyDescent="0.25">
      <c r="BE111" s="193">
        <v>58.333333333333336</v>
      </c>
      <c r="BF111" s="193">
        <v>0.93100000000000005</v>
      </c>
      <c r="BG111" s="193">
        <v>0.97199999999999998</v>
      </c>
    </row>
    <row r="112" spans="57:59" s="193" customFormat="1" x14ac:dyDescent="0.25">
      <c r="BE112" s="193">
        <v>58.416666666666664</v>
      </c>
      <c r="BF112" s="193">
        <v>0.93400000000000005</v>
      </c>
      <c r="BG112" s="193">
        <v>0.97399999999999998</v>
      </c>
    </row>
    <row r="113" spans="57:59" s="193" customFormat="1" x14ac:dyDescent="0.25">
      <c r="BE113" s="193">
        <v>58.5</v>
      </c>
      <c r="BF113" s="193">
        <v>0.93700000000000006</v>
      </c>
      <c r="BG113" s="193">
        <v>0.97499999999999998</v>
      </c>
    </row>
    <row r="114" spans="57:59" s="193" customFormat="1" x14ac:dyDescent="0.25">
      <c r="BE114" s="193">
        <v>58.583333333333336</v>
      </c>
      <c r="BF114" s="193">
        <v>0.94099999999999995</v>
      </c>
      <c r="BG114" s="193">
        <v>0.97599999999999998</v>
      </c>
    </row>
    <row r="115" spans="57:59" s="193" customFormat="1" x14ac:dyDescent="0.25">
      <c r="BE115" s="193">
        <v>58.666666666666664</v>
      </c>
      <c r="BF115" s="193">
        <v>0.94399999999999995</v>
      </c>
      <c r="BG115" s="193">
        <v>0.97799999999999998</v>
      </c>
    </row>
    <row r="116" spans="57:59" s="193" customFormat="1" x14ac:dyDescent="0.25">
      <c r="BE116" s="193">
        <v>58.75</v>
      </c>
      <c r="BF116" s="193">
        <v>0.94699999999999995</v>
      </c>
      <c r="BG116" s="193">
        <v>0.97899999999999998</v>
      </c>
    </row>
    <row r="117" spans="57:59" s="193" customFormat="1" x14ac:dyDescent="0.25">
      <c r="BE117" s="193">
        <v>58.833333333333336</v>
      </c>
      <c r="BF117" s="193">
        <v>0.95099999999999996</v>
      </c>
      <c r="BG117" s="193">
        <v>0.98099999999999998</v>
      </c>
    </row>
    <row r="118" spans="57:59" s="193" customFormat="1" x14ac:dyDescent="0.25">
      <c r="BE118" s="193">
        <v>58.916666666666664</v>
      </c>
      <c r="BF118" s="193">
        <v>0.95399999999999996</v>
      </c>
      <c r="BG118" s="193">
        <v>0.98199999999999998</v>
      </c>
    </row>
    <row r="119" spans="57:59" s="193" customFormat="1" x14ac:dyDescent="0.25">
      <c r="BE119" s="193">
        <v>59</v>
      </c>
      <c r="BF119" s="193">
        <v>0.95699999999999996</v>
      </c>
      <c r="BG119" s="193">
        <v>0.98299999999999998</v>
      </c>
    </row>
    <row r="120" spans="57:59" s="193" customFormat="1" x14ac:dyDescent="0.25">
      <c r="BE120" s="193">
        <v>59.083333333333336</v>
      </c>
      <c r="BF120" s="193">
        <v>0.96099999999999997</v>
      </c>
      <c r="BG120" s="193">
        <v>0.98499999999999999</v>
      </c>
    </row>
    <row r="121" spans="57:59" s="193" customFormat="1" x14ac:dyDescent="0.25">
      <c r="BE121" s="193">
        <v>59.166666666666664</v>
      </c>
      <c r="BF121" s="193">
        <v>0.96399999999999997</v>
      </c>
      <c r="BG121" s="193">
        <v>0.98599999999999999</v>
      </c>
    </row>
    <row r="122" spans="57:59" s="193" customFormat="1" x14ac:dyDescent="0.25">
      <c r="BE122" s="193">
        <v>59.25</v>
      </c>
      <c r="BF122" s="193">
        <v>0.96799999999999997</v>
      </c>
      <c r="BG122" s="193">
        <v>0.98699999999999999</v>
      </c>
    </row>
    <row r="123" spans="57:59" x14ac:dyDescent="0.25">
      <c r="BE123" s="31">
        <v>59.333333333333336</v>
      </c>
      <c r="BF123" s="31">
        <v>0.97199999999999998</v>
      </c>
      <c r="BG123" s="31">
        <v>0.98899999999999999</v>
      </c>
    </row>
    <row r="124" spans="57:59" x14ac:dyDescent="0.25">
      <c r="BE124" s="31">
        <v>59.416666666666664</v>
      </c>
      <c r="BF124" s="31">
        <v>0.97499999999999998</v>
      </c>
      <c r="BG124" s="31">
        <v>0.99</v>
      </c>
    </row>
    <row r="125" spans="57:59" x14ac:dyDescent="0.25">
      <c r="BE125" s="31">
        <v>59.5</v>
      </c>
      <c r="BF125" s="31">
        <v>0.97899999999999998</v>
      </c>
      <c r="BG125" s="31">
        <v>0.99199999999999999</v>
      </c>
    </row>
    <row r="126" spans="57:59" x14ac:dyDescent="0.25">
      <c r="BE126" s="31">
        <v>59.583333333333336</v>
      </c>
      <c r="BF126" s="31">
        <v>0.98199999999999998</v>
      </c>
      <c r="BG126" s="31">
        <v>0.99299999999999999</v>
      </c>
    </row>
    <row r="127" spans="57:59" x14ac:dyDescent="0.25">
      <c r="BE127" s="31">
        <v>59.666666666666664</v>
      </c>
      <c r="BF127" s="31">
        <v>0.98599999999999999</v>
      </c>
      <c r="BG127" s="31">
        <v>0.99399999999999999</v>
      </c>
    </row>
    <row r="128" spans="57:59" x14ac:dyDescent="0.25">
      <c r="BE128" s="31">
        <v>59.75</v>
      </c>
      <c r="BF128" s="31">
        <v>0.98899999999999999</v>
      </c>
      <c r="BG128" s="31">
        <v>0.996</v>
      </c>
    </row>
    <row r="129" spans="57:59" x14ac:dyDescent="0.25">
      <c r="BE129" s="31">
        <v>59.833333333333336</v>
      </c>
      <c r="BF129" s="31">
        <v>0.99299999999999999</v>
      </c>
      <c r="BG129" s="31">
        <v>0.997</v>
      </c>
    </row>
    <row r="130" spans="57:59" x14ac:dyDescent="0.25">
      <c r="BE130" s="31">
        <v>59.916666666666664</v>
      </c>
      <c r="BF130" s="31">
        <v>0.996</v>
      </c>
      <c r="BG130" s="31">
        <v>0.999</v>
      </c>
    </row>
  </sheetData>
  <conditionalFormatting sqref="E46">
    <cfRule type="cellIs" dxfId="11" priority="13" operator="greaterThan">
      <formula>1</formula>
    </cfRule>
    <cfRule type="cellIs" dxfId="10" priority="14" operator="between">
      <formula>0.85</formula>
      <formula>1</formula>
    </cfRule>
    <cfRule type="cellIs" dxfId="9" priority="15" operator="between">
      <formula>0.5</formula>
      <formula>0.85</formula>
    </cfRule>
    <cfRule type="cellIs" dxfId="8" priority="16" operator="lessThan">
      <formula>0.5</formula>
    </cfRule>
  </conditionalFormatting>
  <conditionalFormatting sqref="E58">
    <cfRule type="cellIs" dxfId="7" priority="5" operator="greaterThan">
      <formula>1</formula>
    </cfRule>
    <cfRule type="cellIs" dxfId="6" priority="6" operator="between">
      <formula>0.85</formula>
      <formula>1</formula>
    </cfRule>
    <cfRule type="cellIs" dxfId="5" priority="7" operator="between">
      <formula>0.5</formula>
      <formula>0.85</formula>
    </cfRule>
    <cfRule type="cellIs" dxfId="4" priority="8" operator="lessThan">
      <formula>0.5</formula>
    </cfRule>
  </conditionalFormatting>
  <conditionalFormatting sqref="E79">
    <cfRule type="cellIs" dxfId="3" priority="1" operator="greaterThan">
      <formula>1</formula>
    </cfRule>
    <cfRule type="cellIs" dxfId="2" priority="2" operator="between">
      <formula>0.85</formula>
      <formula>1</formula>
    </cfRule>
    <cfRule type="cellIs" dxfId="1" priority="3" operator="between">
      <formula>0.5</formula>
      <formula>0.85</formula>
    </cfRule>
    <cfRule type="cellIs" dxfId="0" priority="4" operator="lessThan">
      <formula>0.5</formula>
    </cfRule>
  </conditionalFormatting>
  <dataValidations count="1">
    <dataValidation type="list" allowBlank="1" showInputMessage="1" showErrorMessage="1" sqref="M19" xr:uid="{00000000-0002-0000-0800-000000000000}">
      <formula1>$R$18:$R$20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2015 Pension Calculation</vt:lpstr>
      <vt:lpstr>Historical CPI Rates</vt:lpstr>
      <vt:lpstr>Revaluation</vt:lpstr>
      <vt:lpstr>Variables</vt:lpstr>
      <vt:lpstr>2015 VER Calculator </vt:lpstr>
      <vt:lpstr>Sheet1</vt:lpstr>
      <vt:lpstr>2015 Calculator Age 67</vt:lpstr>
      <vt:lpstr>T&amp;C's</vt:lpstr>
      <vt:lpstr>1995-2015 Calculator (67)</vt:lpstr>
      <vt:lpstr>Sheet2</vt:lpstr>
      <vt:lpstr>Instructions</vt:lpstr>
      <vt:lpstr>Age at Retirement</vt:lpstr>
      <vt:lpstr>Results</vt:lpstr>
      <vt:lpstr>1995 Scheme Information</vt:lpstr>
      <vt:lpstr>2015 Scheme Information</vt:lpstr>
      <vt:lpstr>Proceed to Results</vt:lpstr>
      <vt:lpstr>Sheet3</vt:lpstr>
      <vt:lpstr>Notes</vt:lpstr>
      <vt:lpstr>Sheet4</vt:lpstr>
      <vt:lpstr>Revaluation!Print_Area</vt:lpstr>
    </vt:vector>
  </TitlesOfParts>
  <Company>HSC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Bradley</dc:creator>
  <cp:lastModifiedBy>John Coyle</cp:lastModifiedBy>
  <cp:lastPrinted>2016-02-26T12:12:28Z</cp:lastPrinted>
  <dcterms:created xsi:type="dcterms:W3CDTF">2016-02-25T16:30:52Z</dcterms:created>
  <dcterms:modified xsi:type="dcterms:W3CDTF">2026-06-04T13:32:15Z</dcterms:modified>
</cp:coreProperties>
</file>